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2 FERAP\FY26\"/>
    </mc:Choice>
  </mc:AlternateContent>
  <xr:revisionPtr revIDLastSave="0" documentId="13_ncr:1_{B649929A-9FA4-40D2-9D78-3060A5F37598}" xr6:coauthVersionLast="47" xr6:coauthVersionMax="47" xr10:uidLastSave="{00000000-0000-0000-0000-000000000000}"/>
  <bookViews>
    <workbookView xWindow="28680" yWindow="-120" windowWidth="29040" windowHeight="15720" tabRatio="728" firstSheet="1" activeTab="1" xr2:uid="{6990974F-7DE2-44A2-9A23-27687988A875}"/>
  </bookViews>
  <sheets>
    <sheet name="Original" sheetId="4" state="hidden" r:id="rId1"/>
    <sheet name="NIH AY FERAP Tool" sheetId="18" r:id="rId2"/>
    <sheet name="NIH FY FERAP Tool" sheetId="10" r:id="rId3"/>
    <sheet name="NIH Tool" sheetId="11" r:id="rId4"/>
    <sheet name="NIH Salary Cap Updated" sheetId="9" r:id="rId5"/>
    <sheet name="FY" sheetId="3" state="hidden" r:id="rId6"/>
    <sheet name="AY_Option 1" sheetId="1" state="hidden" r:id="rId7"/>
    <sheet name="AY" sheetId="6" state="hidden" r:id="rId8"/>
    <sheet name="Notes" sheetId="7" state="hidden" r:id="rId9"/>
    <sheet name="NIH Salary Cap Original" sheetId="12" state="hidden" r:id="rId10"/>
    <sheet name="Lists" sheetId="2" state="hidden" r:id="rId11"/>
  </sheets>
  <definedNames>
    <definedName name="_xlnm.Print_Area" localSheetId="7">AY!$B$1:$R$19</definedName>
    <definedName name="_xlnm.Print_Area" localSheetId="6">'AY_Option 1'!$B$1:$R$26</definedName>
    <definedName name="_xlnm.Print_Area" localSheetId="5">FY!$B$1:$R$26</definedName>
    <definedName name="_xlnm.Print_Area" localSheetId="2">'NIH FY FERAP Tool'!$A$1:$Q$49</definedName>
    <definedName name="_xlnm.Print_Area" localSheetId="0">Original!$A$1:$Q$26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9" l="1"/>
  <c r="C21" i="9"/>
  <c r="B21" i="9"/>
  <c r="E12" i="9"/>
  <c r="F12" i="9"/>
  <c r="E13" i="9"/>
  <c r="F13" i="9"/>
  <c r="E14" i="9"/>
  <c r="F14" i="9"/>
  <c r="E15" i="9"/>
  <c r="F15" i="9"/>
  <c r="C16" i="9"/>
  <c r="D16" i="9"/>
  <c r="D15" i="9"/>
  <c r="B16" i="9"/>
  <c r="D14" i="9"/>
  <c r="C14" i="9"/>
  <c r="E11" i="9" l="1"/>
  <c r="F11" i="9"/>
  <c r="E10" i="9"/>
  <c r="F10" i="9"/>
  <c r="D13" i="9"/>
  <c r="C17" i="10"/>
  <c r="U4" i="11"/>
  <c r="V4" i="11"/>
  <c r="U5" i="11"/>
  <c r="V5" i="11"/>
  <c r="U6" i="11"/>
  <c r="V6" i="11"/>
  <c r="U7" i="11"/>
  <c r="V7" i="11"/>
  <c r="U9" i="11"/>
  <c r="V9" i="11"/>
  <c r="U10" i="11"/>
  <c r="V10" i="11"/>
  <c r="U11" i="11"/>
  <c r="V11" i="11"/>
  <c r="V16" i="11" s="1"/>
  <c r="U17" i="11" s="1"/>
  <c r="U12" i="11"/>
  <c r="V12" i="11"/>
  <c r="U13" i="11"/>
  <c r="V13" i="11"/>
  <c r="U14" i="11"/>
  <c r="V14" i="11"/>
  <c r="T15" i="11"/>
  <c r="W17" i="11" s="1"/>
  <c r="U16" i="11"/>
  <c r="W16" i="11"/>
  <c r="R20" i="11"/>
  <c r="T20" i="11"/>
  <c r="M25" i="18"/>
  <c r="C28" i="18"/>
  <c r="M27" i="18"/>
  <c r="C27" i="18"/>
  <c r="M26" i="18"/>
  <c r="C26" i="18"/>
  <c r="K17" i="18"/>
  <c r="C17" i="18"/>
  <c r="K14" i="18"/>
  <c r="J14" i="18"/>
  <c r="F14" i="18" s="1"/>
  <c r="D14" i="18"/>
  <c r="F9" i="9"/>
  <c r="E9" i="9"/>
  <c r="D18" i="12"/>
  <c r="F12" i="12"/>
  <c r="E12" i="12"/>
  <c r="F11" i="12"/>
  <c r="E11" i="12"/>
  <c r="F10" i="12"/>
  <c r="E10" i="12"/>
  <c r="F9" i="12"/>
  <c r="F14" i="12" s="1"/>
  <c r="E15" i="12" s="1"/>
  <c r="D13" i="12" s="1"/>
  <c r="E9" i="12"/>
  <c r="E14" i="12" s="1"/>
  <c r="F8" i="12"/>
  <c r="E8" i="12"/>
  <c r="F7" i="12"/>
  <c r="E7" i="12"/>
  <c r="F6" i="12"/>
  <c r="E6" i="12"/>
  <c r="F5" i="12"/>
  <c r="E5" i="12"/>
  <c r="F4" i="12"/>
  <c r="E4" i="12"/>
  <c r="F3" i="12"/>
  <c r="E3" i="12"/>
  <c r="C13" i="9" l="1"/>
  <c r="F17" i="18"/>
  <c r="H17" i="18" s="1"/>
  <c r="S15" i="11"/>
  <c r="S20" i="11" s="1"/>
  <c r="C31" i="18"/>
  <c r="O31" i="18"/>
  <c r="C38" i="18"/>
  <c r="C32" i="18"/>
  <c r="G14" i="18"/>
  <c r="D17" i="18"/>
  <c r="D18" i="18" s="1"/>
  <c r="L14" i="18"/>
  <c r="C13" i="12"/>
  <c r="C18" i="12" s="1"/>
  <c r="B13" i="12"/>
  <c r="B18" i="12" s="1"/>
  <c r="C15" i="9" l="1"/>
  <c r="C54" i="18"/>
  <c r="C34" i="18"/>
  <c r="C40" i="18" s="1"/>
  <c r="C41" i="18" s="1"/>
  <c r="C55" i="18"/>
  <c r="G17" i="18"/>
  <c r="H14" i="18"/>
  <c r="M14" i="18"/>
  <c r="L17" i="18"/>
  <c r="M17" i="18" s="1"/>
  <c r="O17" i="18" s="1"/>
  <c r="P17" i="18" s="1"/>
  <c r="D47" i="18" l="1"/>
  <c r="D51" i="18"/>
  <c r="D50" i="18"/>
  <c r="D49" i="18"/>
  <c r="D52" i="18"/>
  <c r="D46" i="18"/>
  <c r="D48" i="18"/>
  <c r="O14" i="18"/>
  <c r="O18" i="18" s="1"/>
  <c r="C43" i="18"/>
  <c r="P14" i="18" l="1"/>
  <c r="P18" i="18"/>
  <c r="O20" i="18"/>
  <c r="F12" i="11" l="1"/>
  <c r="O36" i="18" l="1"/>
  <c r="M35" i="18"/>
  <c r="F16" i="11"/>
  <c r="H16" i="11"/>
  <c r="H17" i="11"/>
  <c r="F18" i="11"/>
  <c r="O35" i="18"/>
  <c r="M37" i="18"/>
  <c r="M21" i="10"/>
  <c r="M20" i="10"/>
  <c r="M19" i="10"/>
  <c r="C19" i="10"/>
  <c r="C18" i="10"/>
  <c r="O25" i="10" s="1"/>
  <c r="C29" i="10"/>
  <c r="K11" i="10"/>
  <c r="J11" i="10"/>
  <c r="F11" i="10" s="1"/>
  <c r="D11" i="10"/>
  <c r="E7" i="9"/>
  <c r="E6" i="9"/>
  <c r="E5" i="9"/>
  <c r="E4" i="9"/>
  <c r="E3" i="9"/>
  <c r="F4" i="9"/>
  <c r="F5" i="9"/>
  <c r="F6" i="9"/>
  <c r="F7" i="9"/>
  <c r="E8" i="9"/>
  <c r="F8" i="9"/>
  <c r="F3" i="9"/>
  <c r="H18" i="11" l="1"/>
  <c r="H19" i="11" s="1"/>
  <c r="H21" i="11" s="1"/>
  <c r="O29" i="10"/>
  <c r="M29" i="10"/>
  <c r="M31" i="10"/>
  <c r="O30" i="10"/>
  <c r="O37" i="18"/>
  <c r="O38" i="18" s="1"/>
  <c r="O40" i="18" s="1"/>
  <c r="O43" i="18" s="1"/>
  <c r="O45" i="18" s="1"/>
  <c r="C22" i="10"/>
  <c r="C23" i="10"/>
  <c r="L11" i="10"/>
  <c r="M11" i="10" s="1"/>
  <c r="G11" i="10"/>
  <c r="H11" i="10" s="1"/>
  <c r="O42" i="18" l="1"/>
  <c r="O31" i="10"/>
  <c r="O32" i="10" s="1"/>
  <c r="O34" i="10" s="1"/>
  <c r="C46" i="10"/>
  <c r="C45" i="10"/>
  <c r="C25" i="10"/>
  <c r="D40" i="10" s="1"/>
  <c r="O11" i="10"/>
  <c r="O13" i="10" s="1"/>
  <c r="D41" i="10" l="1"/>
  <c r="O37" i="10"/>
  <c r="O39" i="10" s="1"/>
  <c r="O36" i="10"/>
  <c r="C31" i="10"/>
  <c r="C32" i="10" s="1"/>
  <c r="C34" i="10" s="1"/>
  <c r="D42" i="10"/>
  <c r="D43" i="10"/>
  <c r="D37" i="10"/>
  <c r="D38" i="10"/>
  <c r="D39" i="10"/>
  <c r="P11" i="10"/>
  <c r="C16" i="3"/>
  <c r="C28" i="3"/>
  <c r="C18" i="3"/>
  <c r="C17" i="3"/>
  <c r="C27" i="6"/>
  <c r="C26" i="6"/>
  <c r="C25" i="6"/>
  <c r="C37" i="6" s="1"/>
  <c r="J13" i="6"/>
  <c r="C22" i="3" l="1"/>
  <c r="C21" i="3"/>
  <c r="C31" i="6"/>
  <c r="C30" i="6"/>
  <c r="C33" i="6" s="1"/>
  <c r="C53" i="6"/>
  <c r="C44" i="3"/>
  <c r="C24" i="3"/>
  <c r="C30" i="3" s="1"/>
  <c r="C31" i="3" s="1"/>
  <c r="C39" i="6"/>
  <c r="C40" i="6"/>
  <c r="K16" i="6"/>
  <c r="K13" i="6"/>
  <c r="F13" i="6"/>
  <c r="D13" i="6"/>
  <c r="J10" i="4"/>
  <c r="D10" i="3"/>
  <c r="C16" i="6"/>
  <c r="K23" i="1"/>
  <c r="C23" i="1"/>
  <c r="K13" i="1"/>
  <c r="J13" i="1"/>
  <c r="J20" i="4"/>
  <c r="I20" i="4"/>
  <c r="C20" i="4"/>
  <c r="G21" i="4" s="1"/>
  <c r="J17" i="4"/>
  <c r="J16" i="4"/>
  <c r="I16" i="4"/>
  <c r="E16" i="4"/>
  <c r="C16" i="4"/>
  <c r="J13" i="4"/>
  <c r="K13" i="4" s="1"/>
  <c r="I13" i="4"/>
  <c r="C13" i="4"/>
  <c r="F13" i="4" s="1"/>
  <c r="I10" i="4"/>
  <c r="E10" i="4"/>
  <c r="E13" i="4" s="1"/>
  <c r="D45" i="6" l="1"/>
  <c r="D46" i="6"/>
  <c r="D36" i="3"/>
  <c r="D37" i="3"/>
  <c r="D38" i="3"/>
  <c r="D39" i="3"/>
  <c r="D40" i="3"/>
  <c r="D41" i="3"/>
  <c r="D42" i="3"/>
  <c r="C10" i="4"/>
  <c r="F10" i="4" s="1"/>
  <c r="G10" i="4" s="1"/>
  <c r="C17" i="4"/>
  <c r="C18" i="4" s="1"/>
  <c r="F16" i="4"/>
  <c r="G16" i="4" s="1"/>
  <c r="L13" i="6"/>
  <c r="L16" i="6" s="1"/>
  <c r="M16" i="6" s="1"/>
  <c r="F16" i="6"/>
  <c r="H16" i="6" s="1"/>
  <c r="G13" i="6"/>
  <c r="H13" i="6" s="1"/>
  <c r="F23" i="1"/>
  <c r="K17" i="4"/>
  <c r="L17" i="4" s="1"/>
  <c r="N17" i="4" s="1"/>
  <c r="O17" i="4" s="1"/>
  <c r="D16" i="6"/>
  <c r="D17" i="6" s="1"/>
  <c r="L13" i="4"/>
  <c r="G13" i="4"/>
  <c r="K20" i="4"/>
  <c r="E20" i="4"/>
  <c r="K16" i="4"/>
  <c r="L16" i="4" s="1"/>
  <c r="F20" i="4"/>
  <c r="C21" i="4"/>
  <c r="C22" i="4" s="1"/>
  <c r="C33" i="3" l="1"/>
  <c r="N16" i="4"/>
  <c r="M13" i="6"/>
  <c r="K10" i="4"/>
  <c r="L10" i="4" s="1"/>
  <c r="N10" i="4" s="1"/>
  <c r="N11" i="4" s="1"/>
  <c r="O13" i="6"/>
  <c r="O16" i="6"/>
  <c r="P16" i="6" s="1"/>
  <c r="N13" i="4"/>
  <c r="N14" i="4" s="1"/>
  <c r="G16" i="6"/>
  <c r="O16" i="4"/>
  <c r="N18" i="4"/>
  <c r="L20" i="4"/>
  <c r="L21" i="4"/>
  <c r="N21" i="4" s="1"/>
  <c r="O21" i="4" s="1"/>
  <c r="K21" i="4"/>
  <c r="O10" i="4"/>
  <c r="F21" i="4"/>
  <c r="G20" i="4"/>
  <c r="O13" i="4" l="1"/>
  <c r="N20" i="4"/>
  <c r="N22" i="4" s="1"/>
  <c r="O17" i="6"/>
  <c r="P13" i="6"/>
  <c r="N19" i="4"/>
  <c r="O18" i="4"/>
  <c r="O20" i="4" l="1"/>
  <c r="O19" i="6"/>
  <c r="P17" i="6"/>
  <c r="N23" i="4"/>
  <c r="O22" i="4"/>
  <c r="D48" i="6" l="1"/>
  <c r="D49" i="6"/>
  <c r="D50" i="6"/>
  <c r="D51" i="6"/>
  <c r="D47" i="6"/>
  <c r="D20" i="1"/>
  <c r="H23" i="1" s="1"/>
  <c r="J20" i="1"/>
  <c r="F20" i="1" s="1"/>
  <c r="K20" i="1"/>
  <c r="D13" i="1"/>
  <c r="F13" i="1"/>
  <c r="K10" i="3"/>
  <c r="L10" i="3" s="1"/>
  <c r="J10" i="3"/>
  <c r="F10" i="3" s="1"/>
  <c r="M10" i="3" l="1"/>
  <c r="C42" i="6"/>
  <c r="D23" i="1"/>
  <c r="D24" i="1" s="1"/>
  <c r="G13" i="1"/>
  <c r="H13" i="1" s="1"/>
  <c r="L13" i="1"/>
  <c r="M13" i="1" s="1"/>
  <c r="G20" i="1"/>
  <c r="G23" i="1" s="1"/>
  <c r="L20" i="1"/>
  <c r="L23" i="1" s="1"/>
  <c r="M23" i="1" s="1"/>
  <c r="O23" i="1" s="1"/>
  <c r="P23" i="1" s="1"/>
  <c r="G10" i="3"/>
  <c r="H10" i="3" s="1"/>
  <c r="O10" i="3" l="1"/>
  <c r="P10" i="3" s="1"/>
  <c r="H20" i="1"/>
  <c r="M20" i="1"/>
  <c r="O13" i="1"/>
  <c r="O15" i="1" s="1"/>
  <c r="O12" i="3"/>
  <c r="O20" i="1" l="1"/>
  <c r="P13" i="1"/>
  <c r="P20" i="1" l="1"/>
  <c r="O24" i="1"/>
  <c r="O26" i="1" s="1"/>
  <c r="P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tc={C70FF8A9-0DF4-4D42-945C-F2CF702BD7CC}</author>
    <author>tc={C47F74BC-D7A6-4B03-8231-C47FD0A365B3}</author>
    <author>tc={68B4AA32-00A8-4200-B2C1-A8A4A0EEE3A2}</author>
    <author>tc={BBF5E891-DF4F-4685-B49A-4117CFC6EA28}</author>
    <author>tc={53DE63D4-E67E-4E0B-AB19-2C4A0DAB7693}</author>
    <author>tc={7E9B2898-52C5-47CA-94CB-99773C68835E}</author>
  </authors>
  <commentList>
    <comment ref="D6" authorId="0" shapeId="0" xr:uid="{C70FF8A9-0DF4-4D42-945C-F2CF702BD7C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AY Salary
</t>
      </text>
    </comment>
    <comment ref="J6" authorId="1" shapeId="0" xr:uid="{C47F74BC-D7A6-4B03-8231-C47FD0A365B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Salary Enhancement Percentage
</t>
      </text>
    </comment>
    <comment ref="O6" authorId="2" shapeId="0" xr:uid="{68B4AA32-00A8-4200-B2C1-A8A4A0EEE3A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FERAP Appointment FTE
</t>
      </text>
    </comment>
    <comment ref="G9" authorId="3" shapeId="0" xr:uid="{BBF5E891-DF4F-4685-B49A-4117CFC6EA28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summer weeks requested
(from enhanced and un-enhanced appointments)</t>
      </text>
    </comment>
    <comment ref="L9" authorId="4" shapeId="0" xr:uid="{53DE63D4-E67E-4E0B-AB19-2C4A0DAB7693}">
      <text>
        <t>[Threaded comment]
Your version of Excel allows you to read this threaded comment; however, any edits to it will get removed if the file is opened in a newer version of Excel. Learn more: https://go.microsoft.com/fwlink/?linkid=870924
Comment:
    Summer weeks from enhanced appointment only</t>
      </text>
    </comment>
    <comment ref="O44" authorId="5" shapeId="0" xr:uid="{7E9B2898-52C5-47CA-94CB-99773C68835E}">
      <text>
        <t>[Threaded comment]
Your version of Excel allows you to read this threaded comment; however, any edits to it will get removed if the file is opened in a newer version of Excel. Learn more: https://go.microsoft.com/fwlink/?linkid=870924
Comment:
    If participation in the FERAP program at the designated level will require additional teaching or other duty costs to replace the effort, enter the estimated cost here and add notes below.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tc={2D8166A6-159D-4DBF-BDAE-AA9944C44F91}</author>
    <author>tc={2CFAC947-A333-4382-8ABE-14F37B1FEB0C}</author>
    <author>tc={CF050741-89D5-48A1-A7F8-BFA961A9C2BC}</author>
    <author>tc={796EC27F-CFF1-43DB-8679-B889E0FAFF48}</author>
  </authors>
  <commentList>
    <comment ref="D6" authorId="0" shapeId="0" xr:uid="{2D8166A6-159D-4DBF-BDAE-AA9944C44F9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FY Salary
</t>
      </text>
    </comment>
    <comment ref="J6" authorId="1" shapeId="0" xr:uid="{2CFAC947-A333-4382-8ABE-14F37B1FEB0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Salary Enhancement Percentage
</t>
      </text>
    </comment>
    <comment ref="O6" authorId="2" shapeId="0" xr:uid="{CF050741-89D5-48A1-A7F8-BFA961A9C2B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FERAP Appointment FTE
</t>
      </text>
    </comment>
    <comment ref="O38" authorId="3" shapeId="0" xr:uid="{796EC27F-CFF1-43DB-8679-B889E0FAFF48}">
      <text>
        <t>[Threaded comment]
Your version of Excel allows you to read this threaded comment; however, any edits to it will get removed if the file is opened in a newer version of Excel. Learn more: https://go.microsoft.com/fwlink/?linkid=870924
Comment:
    If participation in the FERAP program at the designated level will require additional teaching or other duty costs to replace the effort, enter the estimated cost here and add notes below.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tc={23CE052F-1CBB-49CE-89B5-1593892A5D58}</author>
  </authors>
  <commentList>
    <comment ref="S15" authorId="0" shapeId="0" xr:uid="{23CE052F-1CBB-49CE-89B5-1593892A5D5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May be 166,428 depending on rounding of monthly cap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tc={60334CA1-53FF-4092-84A8-CC5CF0D97A52}</author>
    <author>tc={0F57F6A6-13C4-4CF7-BC42-13DB492C70FB}</author>
  </authors>
  <commentList>
    <comment ref="G8" authorId="0" shapeId="0" xr:uid="{60334CA1-53FF-4092-84A8-CC5CF0D97A52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summer weeks requested
(from enhanced and un-enhanced funding)</t>
      </text>
    </comment>
    <comment ref="L8" authorId="1" shapeId="0" xr:uid="{0F57F6A6-13C4-4CF7-BC42-13DB492C70FB}">
      <text>
        <t>[Threaded comment]
Your version of Excel allows you to read this threaded comment; however, any edits to it will get removed if the file is opened in a newer version of Excel. Learn more: https://go.microsoft.com/fwlink/?linkid=870924
Comment:
    Summer weeks from enhanced funding only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tc={CE54EE8A-0A46-42C2-A1C9-CE14AF4EDB0A}</author>
    <author>tc={5CB6E805-2158-4443-B707-D07D0CB54F1F}</author>
  </authors>
  <commentList>
    <comment ref="G8" authorId="0" shapeId="0" xr:uid="{CE54EE8A-0A46-42C2-A1C9-CE14AF4EDB0A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summer weeks requested
(from enhanced and un-enhanced appointments)</t>
      </text>
    </comment>
    <comment ref="L8" authorId="1" shapeId="0" xr:uid="{5CB6E805-2158-4443-B707-D07D0CB54F1F}">
      <text>
        <t>[Threaded comment]
Your version of Excel allows you to read this threaded comment; however, any edits to it will get removed if the file is opened in a newer version of Excel. Learn more: https://go.microsoft.com/fwlink/?linkid=870924
Comment:
    Summer weeks from enhanced appointment only</t>
      </text>
    </comment>
  </commentList>
</comments>
</file>

<file path=xl/sharedStrings.xml><?xml version="1.0" encoding="utf-8"?>
<sst xmlns="http://schemas.openxmlformats.org/spreadsheetml/2006/main" count="479" uniqueCount="155">
  <si>
    <t>Tenured and Tenure-Track Faculty Enhanced Research Appointment Program</t>
  </si>
  <si>
    <t>Enter your Base Salary, Enhanced Salary % and Enhanced FTE Parameters below to calculate your additional compensation.</t>
  </si>
  <si>
    <t>AY Salary</t>
  </si>
  <si>
    <t>Enhanced Base Salary Component</t>
  </si>
  <si>
    <t>Enhanced FTE</t>
  </si>
  <si>
    <t>10%-25%</t>
  </si>
  <si>
    <t>0.25 to 0.75</t>
  </si>
  <si>
    <t>Current</t>
  </si>
  <si>
    <t>Base Appointment Salary</t>
  </si>
  <si>
    <t>Enhanced Appointment Base Salary</t>
  </si>
  <si>
    <t>FTE</t>
  </si>
  <si>
    <t>Full-Time     Base Salary</t>
  </si>
  <si>
    <t>Base FTE</t>
  </si>
  <si>
    <t>Full-Time 
Base Salary</t>
  </si>
  <si>
    <t>FBSEP</t>
  </si>
  <si>
    <t>Enhanced Base Salary %</t>
  </si>
  <si>
    <t>Full-Time Enhanced Base Salary</t>
  </si>
  <si>
    <t>Earnings</t>
  </si>
  <si>
    <t>Overall Total Salary</t>
  </si>
  <si>
    <t>Fiscal Year</t>
  </si>
  <si>
    <t>Additional Compensation</t>
  </si>
  <si>
    <t>Academic Year</t>
  </si>
  <si>
    <t>No Summer</t>
  </si>
  <si>
    <t>Summer Salary</t>
  </si>
  <si>
    <t>10 Weeks</t>
  </si>
  <si>
    <t>5 weeks</t>
  </si>
  <si>
    <t>(SS-teaching or non-reseach duties)</t>
  </si>
  <si>
    <t>Conversion rate and Summer Pay - https://www.purdue.edu/hr/paytimepractices/comppay/aypaypr.php</t>
  </si>
  <si>
    <t>NIH Salary Cap - $212,100 - https://grants.nih.gov/grants/policy/salcap_summary.htm</t>
  </si>
  <si>
    <t>Tenured and Tenure-Track Faculty Enhanced Research Appointment Program (Academic Year Appointments)</t>
  </si>
  <si>
    <t>With the NIH Salary Cap Cost Sharing Impact</t>
  </si>
  <si>
    <t>Enter your AY Base Salary, Enhanced Salary %, Enhanced FTE Parameters, and estimated summer weeks below to calculate your additional compensation.</t>
  </si>
  <si>
    <t>Select</t>
  </si>
  <si>
    <t>Allowable range</t>
  </si>
  <si>
    <t>=</t>
  </si>
  <si>
    <t>in 5% increments</t>
  </si>
  <si>
    <t>in 0.05 increments</t>
  </si>
  <si>
    <t>Total Full-time Summer Weeks</t>
  </si>
  <si>
    <t>Full-time Summer Weeks on Enhanced Base Salary</t>
  </si>
  <si>
    <t>Weeks</t>
  </si>
  <si>
    <t>NIH Salary Cap Impact Calculation</t>
  </si>
  <si>
    <t>Excludes Summer</t>
  </si>
  <si>
    <t>Enhanced Research Appointment FTE</t>
  </si>
  <si>
    <t>Enhanced Research Base Salary Component</t>
  </si>
  <si>
    <t>NIH AY Effort to Grants</t>
  </si>
  <si>
    <t>Enhanced AY Salary to be charged to grant</t>
  </si>
  <si>
    <r>
      <t xml:space="preserve">% Currently charging grants </t>
    </r>
    <r>
      <rPr>
        <b/>
        <sz val="11"/>
        <color theme="1"/>
        <rFont val="Calibri"/>
        <family val="2"/>
        <scheme val="minor"/>
      </rPr>
      <t>(Enter Percentage)</t>
    </r>
  </si>
  <si>
    <t>AY Salary Charged to Grants (FTE X AY)</t>
  </si>
  <si>
    <r>
      <t xml:space="preserve">% FERAP charging grants </t>
    </r>
    <r>
      <rPr>
        <b/>
        <sz val="11"/>
        <color theme="1"/>
        <rFont val="Calibri"/>
        <family val="2"/>
        <scheme val="minor"/>
      </rPr>
      <t>(Enter Percentage)</t>
    </r>
  </si>
  <si>
    <t>Enhanced Compensation Charged to Grants (FTE X AY X ENH)</t>
  </si>
  <si>
    <t>NIH AY Cost Sharing Impact</t>
  </si>
  <si>
    <t>Total Salary Charged to Grants</t>
  </si>
  <si>
    <t>AY Salary Over Cap</t>
  </si>
  <si>
    <t>CS Impact</t>
  </si>
  <si>
    <t>Current Estimated Salary Cap Cost Sharing</t>
  </si>
  <si>
    <t>Current AY Salary already anticipated to be charged to grant</t>
  </si>
  <si>
    <t>Impact to Cost Sharing - FERAP FTE Change</t>
  </si>
  <si>
    <t>Impact to Cost Sharing - FERAP Appt Salary</t>
  </si>
  <si>
    <t>AY Salary Charged to Grants (X% X AY)</t>
  </si>
  <si>
    <t>Total Estimated NIH Cost Sharing  as Proposed</t>
  </si>
  <si>
    <t>Rates</t>
  </si>
  <si>
    <t xml:space="preserve">Net FERAP Impact on NIH Cost Sharing </t>
  </si>
  <si>
    <t>Fringe Benefits (Coeus = 27%)</t>
  </si>
  <si>
    <t>Enter Actual FB</t>
  </si>
  <si>
    <t>F&amp;A (Coeus = 57%)</t>
  </si>
  <si>
    <t>Enter Actual F&amp;A</t>
  </si>
  <si>
    <t>Net Salary Savings to Department with Net NIH Impact*</t>
  </si>
  <si>
    <t>Total estimated change in expenditure/impact on grant</t>
  </si>
  <si>
    <t>(note: this is an estimate based on above fringe benefits and F&amp;A rate)</t>
  </si>
  <si>
    <t>Total Salary Savings to Department with Net NIH Impact</t>
  </si>
  <si>
    <t>Less:  Teaching/Other duty replacement costs</t>
  </si>
  <si>
    <t>Cost Distribution</t>
  </si>
  <si>
    <t>%</t>
  </si>
  <si>
    <t>Salary $ to be charged</t>
  </si>
  <si>
    <t>Final Estimated FERAP Appointment Savings to Department</t>
  </si>
  <si>
    <t>Notes:</t>
  </si>
  <si>
    <t>WBSE Account 3</t>
  </si>
  <si>
    <t>WBSE Account 4</t>
  </si>
  <si>
    <t>WBSE Account 5</t>
  </si>
  <si>
    <t>WBSE Account 6</t>
  </si>
  <si>
    <t>WBSE Account 7</t>
  </si>
  <si>
    <t>Additional Net Salary Savings to Department</t>
  </si>
  <si>
    <t>Total Salary Savings to the Department</t>
  </si>
  <si>
    <t xml:space="preserve">*Excludes fringe savings </t>
  </si>
  <si>
    <t>Tenured and Tenure-Track Faculty Enhanced Research Appointment Program (Fiscal Year Appointments)</t>
  </si>
  <si>
    <t>Enter your FY Base Salary, Enhanced Salary % and Enhanced FTE Parameters below to calculate your additional compensation.</t>
  </si>
  <si>
    <t>FY Salary</t>
  </si>
  <si>
    <t>Enhanced FY Salary to be charged to grant</t>
  </si>
  <si>
    <t>FY Salary Charged to Grants (25% X AY)</t>
  </si>
  <si>
    <t>(Example only: 25% AY effort requested for enhanced appointment)</t>
  </si>
  <si>
    <t>Enhanced Compensation Charged to Grants (25% of line 10)</t>
  </si>
  <si>
    <t>NIH FY Effort to Grants</t>
  </si>
  <si>
    <t>Current FY Salary already anticipated to be charged to grant</t>
  </si>
  <si>
    <t>(Example only: 25% effort already being charged/budgeted as AY on grants)</t>
  </si>
  <si>
    <t>NIH FY Cost Sharing Impact</t>
  </si>
  <si>
    <t>% Currently charging grants</t>
  </si>
  <si>
    <t>FY Salary Over Cap</t>
  </si>
  <si>
    <t>FY Salary Charged to Grants (X% X FY)</t>
  </si>
  <si>
    <t>Net Salary Savings to Department with NIH Impact*</t>
  </si>
  <si>
    <t>WBSE Account 1</t>
  </si>
  <si>
    <t>WBSE Account 2</t>
  </si>
  <si>
    <t>Additional Net Salary Savings to Department*</t>
  </si>
  <si>
    <t>NIH Salary Cap Cost Sharing FERAP Impact Calculation</t>
  </si>
  <si>
    <t>Select AY or FY</t>
  </si>
  <si>
    <t>Year</t>
  </si>
  <si>
    <t>Salary Cap FY</t>
  </si>
  <si>
    <t>Salary Cap AY</t>
  </si>
  <si>
    <t>Monthly Cap</t>
  </si>
  <si>
    <t>$ Increase over prior year</t>
  </si>
  <si>
    <t>% Increase Over Prior Year</t>
  </si>
  <si>
    <t>FERAP Appointment Information</t>
  </si>
  <si>
    <t>AY</t>
  </si>
  <si>
    <t xml:space="preserve">FY 12 </t>
  </si>
  <si>
    <t>AY/FY</t>
  </si>
  <si>
    <t>Select Appointment Type (AY / FY)</t>
  </si>
  <si>
    <t>FY</t>
  </si>
  <si>
    <t>Current Salary</t>
  </si>
  <si>
    <t>Enter current full time salary</t>
  </si>
  <si>
    <t>Allowable range = 0.25 to 0.75 in 0.05 increments</t>
  </si>
  <si>
    <t>NIH Effort to Grants</t>
  </si>
  <si>
    <t>(NIH Effort Only)</t>
  </si>
  <si>
    <t>NIH Cost Sharing Impact</t>
  </si>
  <si>
    <t>Salary Over Cap</t>
  </si>
  <si>
    <t>2024*</t>
  </si>
  <si>
    <t>Four Year Average</t>
  </si>
  <si>
    <t>Actual 2024</t>
  </si>
  <si>
    <t>Projected Mo Cap</t>
  </si>
  <si>
    <t>Impact to Cost Sharing - FERAP Appt Salary Component</t>
  </si>
  <si>
    <t>* Changed from projected to actuals - Just released 1/29/24, effective 1/1/24</t>
  </si>
  <si>
    <t>Salary Cap Used for Tool</t>
  </si>
  <si>
    <t>Base Apointment Salary</t>
  </si>
  <si>
    <t>Enhanced Apointment Base Salary</t>
  </si>
  <si>
    <t>Academic Year 
No Summer</t>
  </si>
  <si>
    <t>Base Salary</t>
  </si>
  <si>
    <t>Enhanced Base Salary</t>
  </si>
  <si>
    <t>Academic Year 
With Summer</t>
  </si>
  <si>
    <t>NIH Salary Cap AY - $159,075 - https://grants.nih.gov/grants/policy/salcap_summary.htm</t>
  </si>
  <si>
    <t>AY Salary Charged to Grants (25% X AY)</t>
  </si>
  <si>
    <t>2024 Projected*</t>
  </si>
  <si>
    <t>* Very rough projection for estimated impact on cost sharing</t>
  </si>
  <si>
    <t>Enhanced Faculty FTE</t>
  </si>
  <si>
    <t xml:space="preserve"> </t>
  </si>
  <si>
    <t>2026*</t>
  </si>
  <si>
    <t>FY Salary Charged to Grants (FTE X AY)</t>
  </si>
  <si>
    <t>Enhanced Compensation Charged to Grants (FTE X FY X ENH)</t>
  </si>
  <si>
    <t>Allowable range = 0.10 to 0.25 in 0.05 increments</t>
  </si>
  <si>
    <t xml:space="preserve">=0.5*FY25 + 0.5*FY26 </t>
  </si>
  <si>
    <t>TBA</t>
  </si>
  <si>
    <t>2027*</t>
  </si>
  <si>
    <t>* Using 2026 published rates for 2026 and 2027</t>
  </si>
  <si>
    <t>Updated 3.04.26</t>
  </si>
  <si>
    <t>Salary Cap utilized for this tool - Actual 2026 salary cap amounts ($FY228,000, AY $171,000).</t>
  </si>
  <si>
    <t>Updated 3/4/2026</t>
  </si>
  <si>
    <t>NIH Salary Cap AY - $171,000 - https://grants.nih.gov/grants/policy/salcap_summary.htm</t>
  </si>
  <si>
    <t>NIH Salary Cap - $228,000 - https://grants.nih.gov/grants/policy/salcap_summary.htm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</si>
</sst>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  <numFmt numFmtId="166" formatCode="&quot;$&quot;#,##0.0_);[Red]\(&quot;$&quot;#,##0.0\)"/>
    <numFmt numFmtId="167" formatCode="_(&quot;$&quot;* #,##0.000_);_(&quot;$&quot;* \(#,##0.000\);_(&quot;$&quot;* &quot;-&quot;?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43454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43454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3CCCC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7BA0CD"/>
      </left>
      <right/>
      <top style="medium">
        <color rgb="FF7BA0CD"/>
      </top>
      <bottom style="medium">
        <color rgb="FF7BA0CD"/>
      </bottom>
      <diagonal/>
    </border>
    <border>
      <left/>
      <right/>
      <top style="medium">
        <color rgb="FF7BA0CD"/>
      </top>
      <bottom style="medium">
        <color rgb="FF7BA0CD"/>
      </bottom>
      <diagonal/>
    </border>
    <border>
      <left/>
      <right style="medium">
        <color rgb="FF7BA0CD"/>
      </right>
      <top style="medium">
        <color rgb="FF7BA0CD"/>
      </top>
      <bottom style="medium">
        <color rgb="FF7BA0CD"/>
      </bottom>
      <diagonal/>
    </border>
    <border>
      <left style="medium">
        <color rgb="FF7BA0CD"/>
      </left>
      <right/>
      <top/>
      <bottom style="medium">
        <color rgb="FF7BA0CD"/>
      </bottom>
      <diagonal/>
    </border>
    <border>
      <left/>
      <right/>
      <top/>
      <bottom style="medium">
        <color rgb="FF7BA0CD"/>
      </bottom>
      <diagonal/>
    </border>
    <border>
      <left/>
      <right style="medium">
        <color rgb="FF7BA0CD"/>
      </right>
      <top/>
      <bottom style="medium">
        <color rgb="FF7BA0CD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7BA0CD"/>
      </left>
      <right/>
      <top style="medium">
        <color indexed="64"/>
      </top>
      <bottom style="medium">
        <color rgb="FF7BA0CD"/>
      </bottom>
      <diagonal/>
    </border>
    <border>
      <left/>
      <right/>
      <top style="medium">
        <color indexed="64"/>
      </top>
      <bottom style="medium">
        <color rgb="FF7BA0CD"/>
      </bottom>
      <diagonal/>
    </border>
    <border>
      <left/>
      <right style="medium">
        <color rgb="FF7BA0CD"/>
      </right>
      <top style="medium">
        <color indexed="64"/>
      </top>
      <bottom style="medium">
        <color rgb="FF7BA0C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7BA0CD"/>
      </bottom>
      <diagonal/>
    </border>
    <border>
      <left style="medium">
        <color indexed="64"/>
      </left>
      <right style="medium">
        <color indexed="64"/>
      </right>
      <top/>
      <bottom style="medium">
        <color rgb="FF7BA0CD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9">
    <xf numFmtId="0" fontId="0" fillId="0" borderId="0" xfId="0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3" xfId="0" applyBorder="1"/>
    <xf numFmtId="2" fontId="0" fillId="0" borderId="4" xfId="0" applyNumberFormat="1" applyBorder="1"/>
    <xf numFmtId="164" fontId="0" fillId="0" borderId="4" xfId="1" applyNumberFormat="1" applyFont="1" applyBorder="1"/>
    <xf numFmtId="0" fontId="0" fillId="0" borderId="4" xfId="0" applyBorder="1"/>
    <xf numFmtId="9" fontId="0" fillId="0" borderId="4" xfId="2" applyFont="1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2" fontId="0" fillId="0" borderId="0" xfId="0" applyNumberFormat="1"/>
    <xf numFmtId="164" fontId="0" fillId="0" borderId="0" xfId="1" applyNumberFormat="1" applyFont="1" applyBorder="1"/>
    <xf numFmtId="9" fontId="0" fillId="0" borderId="0" xfId="2" applyFont="1" applyBorder="1"/>
    <xf numFmtId="164" fontId="0" fillId="0" borderId="0" xfId="0" applyNumberFormat="1"/>
    <xf numFmtId="9" fontId="0" fillId="0" borderId="6" xfId="2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2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9" fontId="0" fillId="0" borderId="2" xfId="2" applyFont="1" applyBorder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164" fontId="0" fillId="0" borderId="2" xfId="0" applyNumberFormat="1" applyBorder="1"/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1" applyNumberFormat="1" applyFont="1" applyBorder="1" applyAlignment="1">
      <alignment horizontal="center"/>
    </xf>
    <xf numFmtId="0" fontId="0" fillId="0" borderId="0" xfId="0" applyAlignment="1">
      <alignment wrapText="1"/>
    </xf>
    <xf numFmtId="9" fontId="0" fillId="0" borderId="0" xfId="2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0" xfId="0" applyFont="1" applyAlignment="1">
      <alignment horizontal="center"/>
    </xf>
    <xf numFmtId="164" fontId="2" fillId="2" borderId="2" xfId="1" applyNumberFormat="1" applyFont="1" applyFill="1" applyBorder="1"/>
    <xf numFmtId="9" fontId="2" fillId="2" borderId="2" xfId="2" applyFont="1" applyFill="1" applyBorder="1" applyAlignment="1">
      <alignment horizontal="center"/>
    </xf>
    <xf numFmtId="2" fontId="2" fillId="2" borderId="2" xfId="2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0" fillId="0" borderId="12" xfId="0" applyBorder="1"/>
    <xf numFmtId="0" fontId="3" fillId="0" borderId="5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9" fontId="0" fillId="0" borderId="0" xfId="2" applyFont="1"/>
    <xf numFmtId="9" fontId="0" fillId="0" borderId="8" xfId="2" applyFont="1" applyBorder="1"/>
    <xf numFmtId="164" fontId="0" fillId="3" borderId="2" xfId="0" applyNumberFormat="1" applyFill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9" xfId="0" applyFont="1" applyBorder="1"/>
    <xf numFmtId="0" fontId="0" fillId="3" borderId="13" xfId="0" applyFill="1" applyBorder="1"/>
    <xf numFmtId="0" fontId="0" fillId="3" borderId="14" xfId="0" applyFill="1" applyBorder="1" applyAlignment="1">
      <alignment horizontal="right"/>
    </xf>
    <xf numFmtId="0" fontId="0" fillId="3" borderId="14" xfId="0" applyFill="1" applyBorder="1"/>
    <xf numFmtId="0" fontId="5" fillId="0" borderId="3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4" fillId="0" borderId="6" xfId="0" applyFont="1" applyBorder="1"/>
    <xf numFmtId="0" fontId="4" fillId="0" borderId="0" xfId="0" applyFont="1" applyAlignment="1">
      <alignment horizontal="right"/>
    </xf>
    <xf numFmtId="9" fontId="4" fillId="0" borderId="4" xfId="2" applyFont="1" applyFill="1" applyBorder="1" applyAlignment="1">
      <alignment horizontal="center"/>
    </xf>
    <xf numFmtId="2" fontId="4" fillId="0" borderId="4" xfId="2" applyNumberFormat="1" applyFont="1" applyFill="1" applyBorder="1" applyAlignment="1">
      <alignment horizontal="center"/>
    </xf>
    <xf numFmtId="164" fontId="2" fillId="0" borderId="4" xfId="1" applyNumberFormat="1" applyFont="1" applyFill="1" applyBorder="1"/>
    <xf numFmtId="164" fontId="2" fillId="0" borderId="0" xfId="1" applyNumberFormat="1" applyFont="1" applyFill="1" applyBorder="1"/>
    <xf numFmtId="9" fontId="4" fillId="0" borderId="0" xfId="2" applyFont="1" applyFill="1" applyBorder="1" applyAlignment="1">
      <alignment horizontal="center"/>
    </xf>
    <xf numFmtId="2" fontId="4" fillId="0" borderId="0" xfId="2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3" fontId="0" fillId="0" borderId="0" xfId="3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2" fontId="0" fillId="0" borderId="8" xfId="0" applyNumberFormat="1" applyBorder="1"/>
    <xf numFmtId="9" fontId="0" fillId="0" borderId="9" xfId="2" applyFont="1" applyBorder="1"/>
    <xf numFmtId="0" fontId="2" fillId="0" borderId="6" xfId="0" applyFont="1" applyBorder="1"/>
    <xf numFmtId="0" fontId="7" fillId="0" borderId="0" xfId="0" applyFont="1"/>
    <xf numFmtId="0" fontId="8" fillId="0" borderId="0" xfId="0" applyFont="1"/>
    <xf numFmtId="44" fontId="0" fillId="0" borderId="0" xfId="0" applyNumberFormat="1"/>
    <xf numFmtId="0" fontId="2" fillId="0" borderId="15" xfId="0" applyFont="1" applyBorder="1"/>
    <xf numFmtId="44" fontId="0" fillId="0" borderId="0" xfId="1" applyFont="1" applyBorder="1"/>
    <xf numFmtId="0" fontId="2" fillId="0" borderId="3" xfId="0" applyFont="1" applyBorder="1"/>
    <xf numFmtId="0" fontId="0" fillId="0" borderId="16" xfId="0" applyBorder="1"/>
    <xf numFmtId="44" fontId="0" fillId="0" borderId="12" xfId="1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9" fontId="0" fillId="4" borderId="18" xfId="0" applyNumberFormat="1" applyFill="1" applyBorder="1"/>
    <xf numFmtId="9" fontId="0" fillId="4" borderId="18" xfId="2" applyFont="1" applyFill="1" applyBorder="1"/>
    <xf numFmtId="0" fontId="0" fillId="4" borderId="18" xfId="0" applyFill="1" applyBorder="1"/>
    <xf numFmtId="9" fontId="2" fillId="5" borderId="2" xfId="2" applyFont="1" applyFill="1" applyBorder="1" applyAlignment="1">
      <alignment horizontal="center"/>
    </xf>
    <xf numFmtId="9" fontId="0" fillId="5" borderId="0" xfId="2" applyFont="1" applyFill="1"/>
    <xf numFmtId="44" fontId="0" fillId="6" borderId="0" xfId="1" applyFont="1" applyFill="1"/>
    <xf numFmtId="2" fontId="0" fillId="7" borderId="0" xfId="0" applyNumberFormat="1" applyFill="1"/>
    <xf numFmtId="2" fontId="2" fillId="7" borderId="2" xfId="2" applyNumberFormat="1" applyFont="1" applyFill="1" applyBorder="1" applyAlignment="1">
      <alignment horizontal="center"/>
    </xf>
    <xf numFmtId="164" fontId="0" fillId="8" borderId="2" xfId="0" applyNumberFormat="1" applyFill="1" applyBorder="1"/>
    <xf numFmtId="44" fontId="8" fillId="0" borderId="0" xfId="0" applyNumberFormat="1" applyFont="1"/>
    <xf numFmtId="0" fontId="0" fillId="0" borderId="13" xfId="0" applyBorder="1"/>
    <xf numFmtId="44" fontId="0" fillId="0" borderId="19" xfId="0" applyNumberFormat="1" applyBorder="1"/>
    <xf numFmtId="44" fontId="2" fillId="6" borderId="2" xfId="1" applyFont="1" applyFill="1" applyBorder="1"/>
    <xf numFmtId="164" fontId="0" fillId="0" borderId="18" xfId="0" applyNumberFormat="1" applyBorder="1"/>
    <xf numFmtId="164" fontId="0" fillId="0" borderId="6" xfId="1" applyNumberFormat="1" applyFont="1" applyBorder="1"/>
    <xf numFmtId="164" fontId="0" fillId="8" borderId="6" xfId="1" applyNumberFormat="1" applyFont="1" applyFill="1" applyBorder="1"/>
    <xf numFmtId="164" fontId="0" fillId="0" borderId="17" xfId="1" applyNumberFormat="1" applyFont="1" applyBorder="1"/>
    <xf numFmtId="164" fontId="0" fillId="0" borderId="9" xfId="1" applyNumberFormat="1" applyFont="1" applyBorder="1"/>
    <xf numFmtId="164" fontId="0" fillId="0" borderId="0" xfId="1" applyNumberFormat="1" applyFont="1"/>
    <xf numFmtId="164" fontId="2" fillId="0" borderId="15" xfId="0" applyNumberFormat="1" applyFont="1" applyBorder="1"/>
    <xf numFmtId="0" fontId="2" fillId="0" borderId="4" xfId="0" applyFont="1" applyBorder="1" applyAlignment="1">
      <alignment horizontal="center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6" fontId="0" fillId="0" borderId="0" xfId="0" applyNumberFormat="1"/>
    <xf numFmtId="6" fontId="12" fillId="10" borderId="24" xfId="0" applyNumberFormat="1" applyFont="1" applyFill="1" applyBorder="1" applyAlignment="1">
      <alignment horizontal="center" vertical="center" wrapText="1"/>
    </xf>
    <xf numFmtId="6" fontId="12" fillId="10" borderId="25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6" fontId="0" fillId="0" borderId="24" xfId="0" applyNumberFormat="1" applyBorder="1" applyAlignment="1">
      <alignment horizontal="center" vertical="center" wrapText="1"/>
    </xf>
    <xf numFmtId="6" fontId="0" fillId="0" borderId="25" xfId="0" applyNumberFormat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165" fontId="0" fillId="0" borderId="0" xfId="2" applyNumberFormat="1" applyFont="1"/>
    <xf numFmtId="8" fontId="0" fillId="0" borderId="0" xfId="0" applyNumberFormat="1"/>
    <xf numFmtId="165" fontId="0" fillId="0" borderId="10" xfId="2" applyNumberFormat="1" applyFont="1" applyBorder="1"/>
    <xf numFmtId="165" fontId="0" fillId="0" borderId="26" xfId="2" applyNumberFormat="1" applyFont="1" applyBorder="1"/>
    <xf numFmtId="165" fontId="0" fillId="0" borderId="11" xfId="2" applyNumberFormat="1" applyFont="1" applyBorder="1"/>
    <xf numFmtId="165" fontId="0" fillId="0" borderId="0" xfId="2" applyNumberFormat="1" applyFont="1" applyBorder="1"/>
    <xf numFmtId="8" fontId="0" fillId="0" borderId="2" xfId="0" applyNumberFormat="1" applyBorder="1"/>
    <xf numFmtId="165" fontId="0" fillId="11" borderId="2" xfId="2" applyNumberFormat="1" applyFont="1" applyFill="1" applyBorder="1"/>
    <xf numFmtId="6" fontId="0" fillId="0" borderId="3" xfId="0" applyNumberFormat="1" applyBorder="1"/>
    <xf numFmtId="6" fontId="0" fillId="0" borderId="5" xfId="0" applyNumberFormat="1" applyBorder="1"/>
    <xf numFmtId="6" fontId="0" fillId="0" borderId="7" xfId="0" applyNumberFormat="1" applyBorder="1"/>
    <xf numFmtId="6" fontId="0" fillId="11" borderId="2" xfId="0" applyNumberFormat="1" applyFill="1" applyBorder="1"/>
    <xf numFmtId="6" fontId="12" fillId="12" borderId="2" xfId="0" applyNumberFormat="1" applyFont="1" applyFill="1" applyBorder="1" applyAlignment="1">
      <alignment horizontal="center" vertical="center" wrapText="1"/>
    </xf>
    <xf numFmtId="6" fontId="12" fillId="12" borderId="19" xfId="0" applyNumberFormat="1" applyFont="1" applyFill="1" applyBorder="1" applyAlignment="1">
      <alignment horizontal="center" vertical="center" wrapText="1"/>
    </xf>
    <xf numFmtId="0" fontId="2" fillId="12" borderId="23" xfId="0" applyFont="1" applyFill="1" applyBorder="1" applyAlignment="1">
      <alignment horizontal="center" vertical="center" wrapText="1"/>
    </xf>
    <xf numFmtId="6" fontId="0" fillId="12" borderId="24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7" xfId="0" applyBorder="1"/>
    <xf numFmtId="0" fontId="0" fillId="0" borderId="1" xfId="0" applyBorder="1"/>
    <xf numFmtId="164" fontId="0" fillId="0" borderId="28" xfId="1" applyNumberFormat="1" applyFont="1" applyBorder="1"/>
    <xf numFmtId="0" fontId="2" fillId="0" borderId="8" xfId="0" applyFont="1" applyBorder="1"/>
    <xf numFmtId="166" fontId="0" fillId="0" borderId="2" xfId="0" applyNumberFormat="1" applyBorder="1"/>
    <xf numFmtId="164" fontId="0" fillId="8" borderId="28" xfId="1" applyNumberFormat="1" applyFont="1" applyFill="1" applyBorder="1"/>
    <xf numFmtId="167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4" fontId="0" fillId="0" borderId="1" xfId="0" applyNumberFormat="1" applyBorder="1"/>
    <xf numFmtId="164" fontId="1" fillId="0" borderId="9" xfId="1" applyNumberFormat="1" applyFont="1" applyBorder="1"/>
    <xf numFmtId="0" fontId="0" fillId="13" borderId="4" xfId="0" applyFill="1" applyBorder="1" applyAlignment="1">
      <alignment horizontal="left"/>
    </xf>
    <xf numFmtId="0" fontId="0" fillId="13" borderId="12" xfId="0" applyFill="1" applyBorder="1"/>
    <xf numFmtId="0" fontId="0" fillId="13" borderId="8" xfId="0" applyFill="1" applyBorder="1" applyAlignment="1">
      <alignment horizontal="left"/>
    </xf>
    <xf numFmtId="164" fontId="0" fillId="13" borderId="9" xfId="0" applyNumberFormat="1" applyFill="1" applyBorder="1"/>
    <xf numFmtId="0" fontId="9" fillId="0" borderId="0" xfId="0" applyFont="1"/>
    <xf numFmtId="0" fontId="4" fillId="0" borderId="0" xfId="0" applyFont="1" applyAlignment="1">
      <alignment horizontal="left"/>
    </xf>
    <xf numFmtId="0" fontId="10" fillId="9" borderId="29" xfId="0" applyFont="1" applyFill="1" applyBorder="1" applyAlignment="1">
      <alignment horizontal="center" vertical="center" wrapText="1"/>
    </xf>
    <xf numFmtId="0" fontId="10" fillId="9" borderId="30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10" fillId="9" borderId="23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 vertical="center" wrapText="1"/>
    </xf>
    <xf numFmtId="0" fontId="14" fillId="0" borderId="0" xfId="0" applyFont="1"/>
    <xf numFmtId="0" fontId="15" fillId="13" borderId="0" xfId="0" applyFont="1" applyFill="1"/>
    <xf numFmtId="0" fontId="16" fillId="12" borderId="23" xfId="0" applyFont="1" applyFill="1" applyBorder="1" applyAlignment="1">
      <alignment horizontal="center" vertical="center" wrapText="1"/>
    </xf>
    <xf numFmtId="6" fontId="9" fillId="12" borderId="24" xfId="0" applyNumberFormat="1" applyFont="1" applyFill="1" applyBorder="1" applyAlignment="1">
      <alignment horizontal="center" vertical="center" wrapText="1"/>
    </xf>
    <xf numFmtId="6" fontId="9" fillId="10" borderId="32" xfId="0" applyNumberFormat="1" applyFont="1" applyFill="1" applyBorder="1" applyAlignment="1">
      <alignment horizontal="center" vertical="center" wrapText="1"/>
    </xf>
    <xf numFmtId="6" fontId="9" fillId="10" borderId="33" xfId="0" applyNumberFormat="1" applyFont="1" applyFill="1" applyBorder="1" applyAlignment="1">
      <alignment horizontal="center" vertical="center" wrapText="1"/>
    </xf>
    <xf numFmtId="165" fontId="9" fillId="10" borderId="11" xfId="2" applyNumberFormat="1" applyFont="1" applyFill="1" applyBorder="1" applyAlignment="1">
      <alignment horizontal="center" vertical="center" wrapText="1"/>
    </xf>
    <xf numFmtId="0" fontId="0" fillId="11" borderId="13" xfId="0" applyFill="1" applyBorder="1"/>
    <xf numFmtId="44" fontId="0" fillId="11" borderId="19" xfId="0" applyNumberFormat="1" applyFill="1" applyBorder="1"/>
    <xf numFmtId="0" fontId="18" fillId="0" borderId="0" xfId="0" applyFont="1"/>
    <xf numFmtId="0" fontId="8" fillId="15" borderId="13" xfId="0" applyFont="1" applyFill="1" applyBorder="1"/>
    <xf numFmtId="0" fontId="8" fillId="15" borderId="14" xfId="0" applyFont="1" applyFill="1" applyBorder="1"/>
    <xf numFmtId="44" fontId="8" fillId="15" borderId="2" xfId="0" applyNumberFormat="1" applyFont="1" applyFill="1" applyBorder="1"/>
    <xf numFmtId="0" fontId="0" fillId="0" borderId="0" xfId="0" applyAlignment="1">
      <alignment vertical="top"/>
    </xf>
    <xf numFmtId="0" fontId="9" fillId="0" borderId="13" xfId="0" applyFont="1" applyBorder="1"/>
    <xf numFmtId="0" fontId="0" fillId="0" borderId="14" xfId="0" applyBorder="1"/>
    <xf numFmtId="164" fontId="0" fillId="0" borderId="28" xfId="0" applyNumberFormat="1" applyBorder="1"/>
    <xf numFmtId="44" fontId="2" fillId="6" borderId="2" xfId="1" applyFont="1" applyFill="1" applyBorder="1" applyProtection="1">
      <protection locked="0"/>
    </xf>
    <xf numFmtId="9" fontId="2" fillId="5" borderId="2" xfId="2" applyFont="1" applyFill="1" applyBorder="1" applyAlignment="1" applyProtection="1">
      <alignment horizontal="center"/>
      <protection locked="0"/>
    </xf>
    <xf numFmtId="2" fontId="2" fillId="7" borderId="2" xfId="2" applyNumberFormat="1" applyFont="1" applyFill="1" applyBorder="1" applyAlignment="1" applyProtection="1">
      <alignment horizontal="center"/>
      <protection locked="0"/>
    </xf>
    <xf numFmtId="2" fontId="2" fillId="2" borderId="2" xfId="2" applyNumberFormat="1" applyFont="1" applyFill="1" applyBorder="1" applyAlignment="1" applyProtection="1">
      <alignment horizontal="center"/>
      <protection locked="0"/>
    </xf>
    <xf numFmtId="9" fontId="0" fillId="4" borderId="2" xfId="2" applyFont="1" applyFill="1" applyBorder="1" applyProtection="1">
      <protection locked="0"/>
    </xf>
    <xf numFmtId="9" fontId="0" fillId="4" borderId="18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44" fontId="0" fillId="4" borderId="2" xfId="0" applyNumberFormat="1" applyFill="1" applyBorder="1" applyProtection="1">
      <protection locked="0"/>
    </xf>
    <xf numFmtId="44" fontId="0" fillId="6" borderId="0" xfId="1" applyFont="1" applyFill="1" applyProtection="1">
      <protection locked="0"/>
    </xf>
    <xf numFmtId="9" fontId="0" fillId="5" borderId="0" xfId="2" applyFont="1" applyFill="1" applyProtection="1">
      <protection locked="0"/>
    </xf>
    <xf numFmtId="2" fontId="0" fillId="7" borderId="0" xfId="0" applyNumberFormat="1" applyFill="1" applyProtection="1">
      <protection locked="0"/>
    </xf>
    <xf numFmtId="9" fontId="0" fillId="4" borderId="18" xfId="2" applyFont="1" applyFill="1" applyBorder="1" applyProtection="1">
      <protection locked="0"/>
    </xf>
    <xf numFmtId="164" fontId="2" fillId="8" borderId="2" xfId="0" applyNumberFormat="1" applyFont="1" applyFill="1" applyBorder="1" applyAlignment="1" applyProtection="1">
      <alignment horizontal="center"/>
      <protection locked="0"/>
    </xf>
    <xf numFmtId="6" fontId="12" fillId="10" borderId="22" xfId="0" applyNumberFormat="1" applyFont="1" applyFill="1" applyBorder="1" applyAlignment="1">
      <alignment horizontal="center" vertical="center" wrapText="1"/>
    </xf>
    <xf numFmtId="0" fontId="19" fillId="0" borderId="0" xfId="0" applyFont="1"/>
    <xf numFmtId="165" fontId="20" fillId="0" borderId="0" xfId="0" applyNumberFormat="1" applyFont="1"/>
    <xf numFmtId="8" fontId="20" fillId="0" borderId="0" xfId="0" applyNumberFormat="1" applyFont="1"/>
    <xf numFmtId="0" fontId="22" fillId="0" borderId="0" xfId="0" applyFont="1"/>
    <xf numFmtId="6" fontId="0" fillId="0" borderId="22" xfId="0" applyNumberForma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6" fontId="8" fillId="0" borderId="2" xfId="0" applyNumberFormat="1" applyFont="1" applyBorder="1"/>
    <xf numFmtId="0" fontId="21" fillId="0" borderId="0" xfId="0" quotePrefix="1" applyFont="1"/>
    <xf numFmtId="6" fontId="0" fillId="0" borderId="0" xfId="0" applyNumberFormat="1" applyAlignment="1">
      <alignment horizontal="center"/>
    </xf>
    <xf numFmtId="0" fontId="22" fillId="12" borderId="23" xfId="0" applyFont="1" applyFill="1" applyBorder="1" applyAlignment="1">
      <alignment horizontal="center" vertical="center" wrapText="1"/>
    </xf>
    <xf numFmtId="6" fontId="8" fillId="12" borderId="24" xfId="0" applyNumberFormat="1" applyFont="1" applyFill="1" applyBorder="1" applyAlignment="1">
      <alignment horizontal="center" vertical="center" wrapText="1"/>
    </xf>
    <xf numFmtId="6" fontId="8" fillId="12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13" borderId="3" xfId="0" applyFill="1" applyBorder="1" applyAlignment="1">
      <alignment horizontal="left"/>
    </xf>
    <xf numFmtId="0" fontId="0" fillId="13" borderId="4" xfId="0" applyFill="1" applyBorder="1" applyAlignment="1">
      <alignment horizontal="left"/>
    </xf>
    <xf numFmtId="0" fontId="0" fillId="13" borderId="7" xfId="0" applyFill="1" applyBorder="1" applyAlignment="1">
      <alignment horizontal="left"/>
    </xf>
    <xf numFmtId="0" fontId="0" fillId="13" borderId="8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11" borderId="13" xfId="0" applyFill="1" applyBorder="1" applyAlignment="1">
      <alignment horizontal="left"/>
    </xf>
    <xf numFmtId="0" fontId="0" fillId="11" borderId="14" xfId="0" applyFill="1" applyBorder="1" applyAlignment="1">
      <alignment horizontal="left"/>
    </xf>
    <xf numFmtId="0" fontId="0" fillId="11" borderId="19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0" xfId="0" applyFont="1" applyAlignment="1">
      <alignment vertical="center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9" fillId="0" borderId="0" xfId="0" applyFont="1" applyAlignment="1">
      <alignment horizontal="center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11" borderId="13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13" fillId="11" borderId="0" xfId="0" applyFont="1" applyFill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/>
    </xf>
    <xf numFmtId="0" fontId="9" fillId="14" borderId="0" xfId="0" applyFont="1" applyFill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12" xfId="0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102576</xdr:colOff>
      <xdr:row>0</xdr:row>
      <xdr:rowOff>43961</xdr:rowOff>
    </xdr:from>
    <xdr:to>
      <xdr:col>16</xdr:col>
      <xdr:colOff>449951</xdr:colOff>
      <xdr:row>37</xdr:row>
      <xdr:rowOff>162970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CBB4C0-21B0-F38E-4851-3446B4C98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7076" y="43961"/>
          <a:ext cx="5820587" cy="74972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inn, Melissa J." id="{D634B0C4-743D-4788-A6C6-9351C7A810CD}" userId="Guinn, Melissa J.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personId="{D634B0C4-743D-4788-A6C6-9351C7A810CD}" id="{C70FF8A9-0DF4-4D42-945C-F2CF702BD7CC}">
    <text xml:space="preserve">Enter AY Salary
</text>
  </threadedComment>
  <threadedComment ref="J6" personId="{D634B0C4-743D-4788-A6C6-9351C7A810CD}" id="{C47F74BC-D7A6-4B03-8231-C47FD0A365B3}">
    <text xml:space="preserve">Enter Salary Enhancement Percentage
</text>
  </threadedComment>
  <threadedComment ref="O6" personId="{D634B0C4-743D-4788-A6C6-9351C7A810CD}" id="{68B4AA32-00A8-4200-B2C1-A8A4A0EEE3A2}">
    <text xml:space="preserve">Enter FERAP Appointment FTE
</text>
  </threadedComment>
  <threadedComment ref="G9" personId="{D634B0C4-743D-4788-A6C6-9351C7A810CD}" id="{BBF5E891-DF4F-4685-B49A-4117CFC6EA28}">
    <text>Total summer weeks requested
(from enhanced and un-enhanced appointments)</text>
  </threadedComment>
  <threadedComment ref="L9" personId="{D634B0C4-743D-4788-A6C6-9351C7A810CD}" id="{53DE63D4-E67E-4E0B-AB19-2C4A0DAB7693}">
    <text>Summer weeks from enhanced appointment only</text>
  </threadedComment>
  <threadedComment ref="O44" personId="{D634B0C4-743D-4788-A6C6-9351C7A810CD}" id="{7E9B2898-52C5-47CA-94CB-99773C68835E}">
    <text>If participation in the FERAP program at the designated level will require additional teaching or other duty costs to replace the effort, enter the estimated cost here and add notes below.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6" personId="{D634B0C4-743D-4788-A6C6-9351C7A810CD}" id="{2D8166A6-159D-4DBF-BDAE-AA9944C44F91}">
    <text xml:space="preserve">Enter FY Salary
</text>
  </threadedComment>
  <threadedComment ref="J6" personId="{D634B0C4-743D-4788-A6C6-9351C7A810CD}" id="{2CFAC947-A333-4382-8ABE-14F37B1FEB0C}">
    <text xml:space="preserve">Enter Salary Enhancement Percentage
</text>
  </threadedComment>
  <threadedComment ref="O6" personId="{D634B0C4-743D-4788-A6C6-9351C7A810CD}" id="{CF050741-89D5-48A1-A7F8-BFA961A9C2BC}">
    <text xml:space="preserve">Enter FERAP Appointment FTE
</text>
  </threadedComment>
  <threadedComment ref="O38" personId="{D634B0C4-743D-4788-A6C6-9351C7A810CD}" id="{796EC27F-CFF1-43DB-8679-B889E0FAFF48}">
    <text>If participation in the FERAP program at the designated level will require additional teaching or other duty costs to replace the effort, enter the estimated cost here and add notes below.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S15" personId="{D634B0C4-743D-4788-A6C6-9351C7A810CD}" id="{23CE052F-1CBB-49CE-89B5-1593892A5D58}">
    <text xml:space="preserve">May be 166,428 depending on rounding of monthly cap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8" personId="{D634B0C4-743D-4788-A6C6-9351C7A810CD}" id="{60334CA1-53FF-4092-84A8-CC5CF0D97A52}">
    <text>Total summer weeks requested
(from enhanced and un-enhanced funding)</text>
  </threadedComment>
  <threadedComment ref="L8" personId="{D634B0C4-743D-4788-A6C6-9351C7A810CD}" id="{0F57F6A6-13C4-4CF7-BC42-13DB492C70FB}">
    <text>Summer weeks from enhanced funding only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G8" personId="{D634B0C4-743D-4788-A6C6-9351C7A810CD}" id="{CE54EE8A-0A46-42C2-A1C9-CE14AF4EDB0A}">
    <text>Total summer weeks requested
(from enhanced and un-enhanced appointments)</text>
  </threadedComment>
  <threadedComment ref="L8" personId="{D634B0C4-743D-4788-A6C6-9351C7A810CD}" id="{5CB6E805-2158-4443-B707-D07D0CB54F1F}">
    <text>Summer weeks from enhanced appointment only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AA15-1190-462B-BC7E-7D4B5C9005D2}">
  <sheetPr>
    <pageSetUpPr fitToPage="1"/>
  </sheetPr>
  <dimension ref="A1:O29"/>
  <sheetViews>
    <sheetView zoomScale="110" workbookViewId="0">
      <selection activeCell="G26" sqref="G26"/>
    </sheetView>
  </sheetViews>
  <sheetFormatPr defaultRowHeight="15" x14ac:dyDescent="0.25"/>
  <cols>
    <col min="1" max="1" width="15" customWidth="1"/>
    <col min="3" max="3" width="14.28515625" bestFit="1" customWidth="1"/>
    <col min="4" max="4" width="2.85546875" customWidth="1"/>
    <col min="5" max="5" width="8.140625" customWidth="1"/>
    <col min="6" max="7" width="14.28515625" customWidth="1"/>
    <col min="8" max="8" width="2.7109375" customWidth="1"/>
    <col min="9" max="9" width="11.5703125" customWidth="1"/>
    <col min="10" max="10" width="14.85546875" customWidth="1"/>
    <col min="11" max="11" width="15.7109375" customWidth="1"/>
    <col min="12" max="12" width="9.7109375" bestFit="1" customWidth="1"/>
    <col min="13" max="13" width="2.28515625" customWidth="1"/>
    <col min="14" max="14" width="10" bestFit="1" customWidth="1"/>
    <col min="16" max="16" width="2.5703125" customWidth="1"/>
    <col min="17" max="17" width="10" bestFit="1" customWidth="1"/>
  </cols>
  <sheetData>
    <row r="1" spans="1:15" ht="21" x14ac:dyDescent="0.35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5" ht="21.75" thickBot="1" x14ac:dyDescent="0.4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1" x14ac:dyDescent="0.35">
      <c r="A3" s="39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0"/>
    </row>
    <row r="4" spans="1:15" ht="8.25" customHeight="1" thickBot="1" x14ac:dyDescent="0.4">
      <c r="A4" s="41"/>
      <c r="O4" s="10"/>
    </row>
    <row r="5" spans="1:15" ht="15.75" thickBot="1" x14ac:dyDescent="0.3">
      <c r="A5" s="9"/>
      <c r="B5" s="42" t="s">
        <v>2</v>
      </c>
      <c r="C5" s="36">
        <v>200000</v>
      </c>
      <c r="D5" s="42"/>
      <c r="E5" s="42"/>
      <c r="F5" s="42"/>
      <c r="G5" s="43" t="s">
        <v>3</v>
      </c>
      <c r="H5" s="42"/>
      <c r="I5" s="37">
        <v>0.2</v>
      </c>
      <c r="J5" s="42"/>
      <c r="L5" s="43" t="s">
        <v>4</v>
      </c>
      <c r="M5" s="42"/>
      <c r="N5" s="38">
        <v>0.25</v>
      </c>
      <c r="O5" s="10"/>
    </row>
    <row r="6" spans="1:15" ht="15.75" thickBot="1" x14ac:dyDescent="0.3">
      <c r="A6" s="16"/>
      <c r="B6" s="17"/>
      <c r="C6" s="17"/>
      <c r="D6" s="17"/>
      <c r="E6" s="17"/>
      <c r="F6" s="17"/>
      <c r="G6" s="17"/>
      <c r="H6" s="17"/>
      <c r="I6" s="44" t="s">
        <v>5</v>
      </c>
      <c r="J6" s="17"/>
      <c r="K6" s="17"/>
      <c r="L6" s="17"/>
      <c r="M6" s="17"/>
      <c r="N6" s="44" t="s">
        <v>6</v>
      </c>
      <c r="O6" s="18"/>
    </row>
    <row r="7" spans="1:15" ht="15.75" thickBot="1" x14ac:dyDescent="0.3">
      <c r="I7" s="26"/>
      <c r="N7" s="26"/>
    </row>
    <row r="8" spans="1:15" ht="15.75" thickBot="1" x14ac:dyDescent="0.3">
      <c r="B8" s="219" t="s">
        <v>7</v>
      </c>
      <c r="C8" s="220"/>
      <c r="E8" s="219" t="s">
        <v>8</v>
      </c>
      <c r="F8" s="221"/>
      <c r="G8" s="220"/>
      <c r="I8" s="219" t="s">
        <v>9</v>
      </c>
      <c r="J8" s="221"/>
      <c r="K8" s="221"/>
      <c r="L8" s="220"/>
    </row>
    <row r="9" spans="1:15" s="29" customFormat="1" ht="45.75" thickBot="1" x14ac:dyDescent="0.3">
      <c r="A9" s="32"/>
      <c r="B9" s="31" t="s">
        <v>10</v>
      </c>
      <c r="C9" s="31" t="s">
        <v>11</v>
      </c>
      <c r="D9" s="33"/>
      <c r="E9" s="31" t="s">
        <v>12</v>
      </c>
      <c r="F9" s="31" t="s">
        <v>13</v>
      </c>
      <c r="G9" s="31" t="s">
        <v>14</v>
      </c>
      <c r="H9" s="33"/>
      <c r="I9" s="31" t="s">
        <v>4</v>
      </c>
      <c r="J9" s="31" t="s">
        <v>15</v>
      </c>
      <c r="K9" s="31" t="s">
        <v>16</v>
      </c>
      <c r="L9" s="31" t="s">
        <v>17</v>
      </c>
      <c r="M9" s="33"/>
      <c r="N9" s="31" t="s">
        <v>18</v>
      </c>
      <c r="O9" s="34"/>
    </row>
    <row r="10" spans="1:15" ht="15.75" thickBot="1" x14ac:dyDescent="0.3">
      <c r="A10" s="3" t="s">
        <v>19</v>
      </c>
      <c r="B10" s="4">
        <v>1</v>
      </c>
      <c r="C10" s="5">
        <f>+C16*1.2778</f>
        <v>255560</v>
      </c>
      <c r="D10" s="6"/>
      <c r="E10" s="4">
        <f>+B10-I10</f>
        <v>0.75</v>
      </c>
      <c r="F10" s="5">
        <f>+C10</f>
        <v>255560</v>
      </c>
      <c r="G10" s="5">
        <f>+F10*E10</f>
        <v>191670</v>
      </c>
      <c r="H10" s="6"/>
      <c r="I10" s="19">
        <f>+N5</f>
        <v>0.25</v>
      </c>
      <c r="J10" s="7">
        <f>+$I$5</f>
        <v>0.2</v>
      </c>
      <c r="K10" s="5">
        <f>+C10*(1+J10)</f>
        <v>306672</v>
      </c>
      <c r="L10" s="8">
        <f>+I10*K10</f>
        <v>76668</v>
      </c>
      <c r="M10" s="6"/>
      <c r="N10" s="8">
        <f>+G10+L10</f>
        <v>268338</v>
      </c>
      <c r="O10" s="22">
        <f>+(N10-C10)/C10</f>
        <v>0.05</v>
      </c>
    </row>
    <row r="11" spans="1:15" ht="15.75" thickBot="1" x14ac:dyDescent="0.3">
      <c r="A11" s="9"/>
      <c r="J11" s="13"/>
      <c r="L11" s="23" t="s">
        <v>20</v>
      </c>
      <c r="N11" s="25">
        <f>+N10-C10</f>
        <v>12778</v>
      </c>
      <c r="O11" s="10"/>
    </row>
    <row r="12" spans="1:15" ht="15.75" thickBot="1" x14ac:dyDescent="0.3">
      <c r="A12" s="9"/>
      <c r="J12" s="13"/>
      <c r="L12" s="23"/>
      <c r="N12" s="14"/>
      <c r="O12" s="10"/>
    </row>
    <row r="13" spans="1:15" ht="15.75" thickBot="1" x14ac:dyDescent="0.3">
      <c r="A13" s="9" t="s">
        <v>21</v>
      </c>
      <c r="B13" s="11">
        <v>1</v>
      </c>
      <c r="C13" s="12">
        <f>+$C$5</f>
        <v>200000</v>
      </c>
      <c r="E13" s="11">
        <f>+E10</f>
        <v>0.75</v>
      </c>
      <c r="F13" s="12">
        <f>+C13</f>
        <v>200000</v>
      </c>
      <c r="G13" s="12">
        <f>+F13*E13</f>
        <v>150000</v>
      </c>
      <c r="I13" s="19">
        <f>+N5</f>
        <v>0.25</v>
      </c>
      <c r="J13" s="13">
        <f>+$I$5</f>
        <v>0.2</v>
      </c>
      <c r="K13" s="12">
        <f>+C13*(1+J13)</f>
        <v>240000</v>
      </c>
      <c r="L13" s="14">
        <f>+I13*K13</f>
        <v>60000</v>
      </c>
      <c r="N13" s="14">
        <f>+G13+L13</f>
        <v>210000</v>
      </c>
      <c r="O13" s="15">
        <f>+(N13-C13)/C13</f>
        <v>0.05</v>
      </c>
    </row>
    <row r="14" spans="1:15" ht="15.75" thickBot="1" x14ac:dyDescent="0.3">
      <c r="A14" s="9" t="s">
        <v>22</v>
      </c>
      <c r="J14" s="13"/>
      <c r="L14" s="23" t="s">
        <v>20</v>
      </c>
      <c r="N14" s="25">
        <f>+N13-C13</f>
        <v>10000</v>
      </c>
      <c r="O14" s="10"/>
    </row>
    <row r="15" spans="1:15" ht="15.75" thickBot="1" x14ac:dyDescent="0.3">
      <c r="A15" s="9"/>
      <c r="J15" s="13"/>
      <c r="L15" s="23"/>
      <c r="N15" s="14"/>
      <c r="O15" s="10"/>
    </row>
    <row r="16" spans="1:15" x14ac:dyDescent="0.25">
      <c r="A16" s="9" t="s">
        <v>21</v>
      </c>
      <c r="B16" s="11">
        <v>1</v>
      </c>
      <c r="C16" s="12">
        <f>+$C$5</f>
        <v>200000</v>
      </c>
      <c r="E16" s="11">
        <f>+E10</f>
        <v>0.75</v>
      </c>
      <c r="F16" s="12">
        <f>+C16</f>
        <v>200000</v>
      </c>
      <c r="G16" s="12">
        <f>+F16*E16</f>
        <v>150000</v>
      </c>
      <c r="I16" s="20">
        <f>+N5</f>
        <v>0.25</v>
      </c>
      <c r="J16" s="13">
        <f>+$I$5</f>
        <v>0.2</v>
      </c>
      <c r="K16" s="12">
        <f>+C16*(1+J16)</f>
        <v>240000</v>
      </c>
      <c r="L16" s="14">
        <f>+I16*K16</f>
        <v>60000</v>
      </c>
      <c r="N16" s="14">
        <f>+G16+L16</f>
        <v>210000</v>
      </c>
      <c r="O16" s="15">
        <f>+(N16-C16)/C16</f>
        <v>0.05</v>
      </c>
    </row>
    <row r="17" spans="1:15" ht="15.75" thickBot="1" x14ac:dyDescent="0.3">
      <c r="A17" s="9" t="s">
        <v>23</v>
      </c>
      <c r="B17" t="s">
        <v>24</v>
      </c>
      <c r="C17" s="1">
        <f>+C16*0.02778*10</f>
        <v>55560</v>
      </c>
      <c r="I17" s="21">
        <v>1</v>
      </c>
      <c r="J17" s="13">
        <f>+$I$5</f>
        <v>0.2</v>
      </c>
      <c r="K17" s="12">
        <f>+C17*(1+J17)</f>
        <v>66672</v>
      </c>
      <c r="L17" s="14">
        <f>+I17*K17</f>
        <v>66672</v>
      </c>
      <c r="N17" s="2">
        <f>+G17+L17</f>
        <v>66672</v>
      </c>
      <c r="O17" s="15">
        <f>+(N17-C17)/C17</f>
        <v>0.2</v>
      </c>
    </row>
    <row r="18" spans="1:15" ht="15.75" thickBot="1" x14ac:dyDescent="0.3">
      <c r="A18" s="9"/>
      <c r="C18" s="14">
        <f>SUM(C16:C17)</f>
        <v>255560</v>
      </c>
      <c r="N18" s="14">
        <f>SUM(N16:N17)</f>
        <v>276672</v>
      </c>
      <c r="O18" s="22">
        <f>+(N18-C18)/C18</f>
        <v>8.261073720457035E-2</v>
      </c>
    </row>
    <row r="19" spans="1:15" ht="15.75" thickBot="1" x14ac:dyDescent="0.3">
      <c r="A19" s="9"/>
      <c r="C19" s="14"/>
      <c r="L19" s="23" t="s">
        <v>20</v>
      </c>
      <c r="N19" s="25">
        <f>+N18-C18</f>
        <v>21112</v>
      </c>
      <c r="O19" s="15"/>
    </row>
    <row r="20" spans="1:15" x14ac:dyDescent="0.25">
      <c r="A20" s="9" t="s">
        <v>21</v>
      </c>
      <c r="B20" s="11">
        <v>1</v>
      </c>
      <c r="C20" s="12">
        <f>+$C$5</f>
        <v>200000</v>
      </c>
      <c r="E20" s="11">
        <f>+E10</f>
        <v>0.75</v>
      </c>
      <c r="F20" s="12">
        <f>+C20</f>
        <v>200000</v>
      </c>
      <c r="G20" s="12">
        <f>+F20*E20</f>
        <v>150000</v>
      </c>
      <c r="I20" s="20">
        <f>+N5</f>
        <v>0.25</v>
      </c>
      <c r="J20" s="13">
        <f>+$I$5</f>
        <v>0.2</v>
      </c>
      <c r="K20" s="12">
        <f>+C20*(1+J20)</f>
        <v>240000</v>
      </c>
      <c r="L20" s="14">
        <f>+I20*K20</f>
        <v>60000</v>
      </c>
      <c r="N20" s="14">
        <f>+G20+L20</f>
        <v>210000</v>
      </c>
      <c r="O20" s="15">
        <f>+(N20-C20)/C20</f>
        <v>0.05</v>
      </c>
    </row>
    <row r="21" spans="1:15" ht="15.75" thickBot="1" x14ac:dyDescent="0.3">
      <c r="A21" s="9" t="s">
        <v>23</v>
      </c>
      <c r="B21" t="s">
        <v>24</v>
      </c>
      <c r="C21" s="1">
        <f>+C20*0.02778*10</f>
        <v>55560</v>
      </c>
      <c r="E21" t="s">
        <v>25</v>
      </c>
      <c r="F21" s="14">
        <f>+F20</f>
        <v>200000</v>
      </c>
      <c r="G21" s="12">
        <f>((+C20)*0.02778)*5</f>
        <v>27780</v>
      </c>
      <c r="I21" s="21">
        <v>1</v>
      </c>
      <c r="J21" s="30" t="s">
        <v>25</v>
      </c>
      <c r="K21" s="12">
        <f>+K20</f>
        <v>240000</v>
      </c>
      <c r="L21" s="12">
        <f>((+K20)*0.02778)*5</f>
        <v>33336</v>
      </c>
      <c r="N21" s="2">
        <f>+L21+G21</f>
        <v>61116</v>
      </c>
      <c r="O21" s="15">
        <f>+(N21-C21)/C21</f>
        <v>0.1</v>
      </c>
    </row>
    <row r="22" spans="1:15" ht="15.75" thickBot="1" x14ac:dyDescent="0.3">
      <c r="A22" s="9"/>
      <c r="C22" s="14">
        <f>SUM(C20:C21)</f>
        <v>255560</v>
      </c>
      <c r="F22" s="26" t="s">
        <v>26</v>
      </c>
      <c r="N22" s="14">
        <f>SUM(N20:N21)</f>
        <v>271116</v>
      </c>
      <c r="O22" s="22">
        <f>+(N22-C22)/C22</f>
        <v>6.0870245734856783E-2</v>
      </c>
    </row>
    <row r="23" spans="1:15" ht="15.75" thickBot="1" x14ac:dyDescent="0.3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24" t="s">
        <v>20</v>
      </c>
      <c r="M23" s="17"/>
      <c r="N23" s="25">
        <f>+N22-C22</f>
        <v>15556</v>
      </c>
      <c r="O23" s="18"/>
    </row>
    <row r="25" spans="1:15" x14ac:dyDescent="0.25">
      <c r="A25" s="27" t="s">
        <v>27</v>
      </c>
    </row>
    <row r="26" spans="1:15" x14ac:dyDescent="0.25">
      <c r="A26" s="27" t="s">
        <v>28</v>
      </c>
    </row>
    <row r="28" spans="1:15" x14ac:dyDescent="0.25">
      <c r="A28" s="26"/>
    </row>
    <row r="29" spans="1:15" x14ac:dyDescent="0.25">
      <c r="A29" s="28"/>
    </row>
  </sheetData>
  <protectedRanges>
    <protectedRange sqref="A3:XFD6" name="Parameters"/>
  </protectedRanges>
  <mergeCells count="4">
    <mergeCell ref="A1:O1"/>
    <mergeCell ref="B8:C8"/>
    <mergeCell ref="E8:G8"/>
    <mergeCell ref="I8:L8"/>
  </mergeCells>
  <printOptions horizontalCentered="1"/>
  <pageMargins left="0.45" right="0.45" top="0.5" bottom="0.5" header="0.3" footer="0.3"/>
  <pageSetup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1FC1-0589-4190-B68E-2ABB069417E6}">
  <sheetPr>
    <tabColor theme="9" tint="0.59999389629810485"/>
  </sheetPr>
  <dimension ref="A1:H18"/>
  <sheetViews>
    <sheetView zoomScale="130" zoomScaleNormal="130" workbookViewId="0">
      <selection activeCell="D19" sqref="D19"/>
    </sheetView>
  </sheetViews>
  <sheetFormatPr defaultRowHeight="15" x14ac:dyDescent="0.25"/>
  <cols>
    <col min="1" max="4" width="22.7109375" customWidth="1"/>
    <col min="5" max="5" width="16.28515625" customWidth="1"/>
    <col min="6" max="6" width="19.28515625" customWidth="1"/>
    <col min="7" max="7" width="10.85546875" bestFit="1" customWidth="1"/>
  </cols>
  <sheetData>
    <row r="1" spans="1:8" ht="30.75" thickBot="1" x14ac:dyDescent="0.3">
      <c r="A1" s="102" t="s">
        <v>104</v>
      </c>
      <c r="B1" s="103" t="s">
        <v>105</v>
      </c>
      <c r="C1" s="103" t="s">
        <v>106</v>
      </c>
      <c r="D1" s="104" t="s">
        <v>107</v>
      </c>
      <c r="E1" s="112" t="s">
        <v>108</v>
      </c>
      <c r="F1" s="112" t="s">
        <v>109</v>
      </c>
    </row>
    <row r="2" spans="1:8" ht="15.75" thickBot="1" x14ac:dyDescent="0.3">
      <c r="A2" s="105" t="s">
        <v>112</v>
      </c>
      <c r="B2" s="107">
        <v>179700</v>
      </c>
      <c r="C2" s="107">
        <v>134775</v>
      </c>
      <c r="D2" s="108">
        <v>14975</v>
      </c>
    </row>
    <row r="3" spans="1:8" ht="15.75" thickBot="1" x14ac:dyDescent="0.3">
      <c r="A3" s="109">
        <v>2014</v>
      </c>
      <c r="B3" s="110">
        <v>181500</v>
      </c>
      <c r="C3" s="110">
        <v>136126</v>
      </c>
      <c r="D3" s="111">
        <v>15125</v>
      </c>
      <c r="E3" s="106">
        <f t="shared" ref="E3:E12" si="0">B3-B2</f>
        <v>1800</v>
      </c>
      <c r="F3" s="113">
        <f>B3/B2-1</f>
        <v>1.001669449081799E-2</v>
      </c>
    </row>
    <row r="4" spans="1:8" ht="15.75" thickBot="1" x14ac:dyDescent="0.3">
      <c r="A4" s="105">
        <v>2015</v>
      </c>
      <c r="B4" s="107">
        <v>183300</v>
      </c>
      <c r="C4" s="107">
        <v>137475</v>
      </c>
      <c r="D4" s="108">
        <v>15275</v>
      </c>
      <c r="E4" s="106">
        <f t="shared" si="0"/>
        <v>1800</v>
      </c>
      <c r="F4" s="113">
        <f t="shared" ref="F4:F12" si="1">B4/B3-1</f>
        <v>9.917355371900749E-3</v>
      </c>
    </row>
    <row r="5" spans="1:8" ht="15.75" thickBot="1" x14ac:dyDescent="0.3">
      <c r="A5" s="109">
        <v>2016</v>
      </c>
      <c r="B5" s="110">
        <v>185100</v>
      </c>
      <c r="C5" s="110">
        <v>138825</v>
      </c>
      <c r="D5" s="111">
        <v>15425</v>
      </c>
      <c r="E5" s="106">
        <f t="shared" si="0"/>
        <v>1800</v>
      </c>
      <c r="F5" s="113">
        <f t="shared" si="1"/>
        <v>9.8199672667758087E-3</v>
      </c>
    </row>
    <row r="6" spans="1:8" ht="15.75" thickBot="1" x14ac:dyDescent="0.3">
      <c r="A6" s="105">
        <v>2017</v>
      </c>
      <c r="B6" s="107">
        <v>187000</v>
      </c>
      <c r="C6" s="107">
        <v>140250</v>
      </c>
      <c r="D6" s="108">
        <v>15583</v>
      </c>
      <c r="E6" s="106">
        <f t="shared" si="0"/>
        <v>1900</v>
      </c>
      <c r="F6" s="113">
        <f t="shared" si="1"/>
        <v>1.0264721772015095E-2</v>
      </c>
    </row>
    <row r="7" spans="1:8" ht="15.75" thickBot="1" x14ac:dyDescent="0.3">
      <c r="A7" s="109">
        <v>2018</v>
      </c>
      <c r="B7" s="110">
        <v>189600</v>
      </c>
      <c r="C7" s="110">
        <v>142200</v>
      </c>
      <c r="D7" s="111">
        <v>15800</v>
      </c>
      <c r="E7" s="106">
        <f t="shared" si="0"/>
        <v>2600</v>
      </c>
      <c r="F7" s="113">
        <f t="shared" si="1"/>
        <v>1.3903743315508033E-2</v>
      </c>
    </row>
    <row r="8" spans="1:8" ht="15.75" thickBot="1" x14ac:dyDescent="0.3">
      <c r="A8" s="105">
        <v>2019</v>
      </c>
      <c r="B8" s="107">
        <v>192300</v>
      </c>
      <c r="C8" s="107">
        <v>144225</v>
      </c>
      <c r="D8" s="107">
        <v>16025</v>
      </c>
      <c r="E8" s="106">
        <f t="shared" si="0"/>
        <v>2700</v>
      </c>
      <c r="F8" s="118">
        <f t="shared" si="1"/>
        <v>1.4240506329114E-2</v>
      </c>
    </row>
    <row r="9" spans="1:8" ht="15.75" thickBot="1" x14ac:dyDescent="0.3">
      <c r="A9" s="109">
        <v>2020</v>
      </c>
      <c r="B9" s="110">
        <v>197300</v>
      </c>
      <c r="C9" s="110">
        <v>147975</v>
      </c>
      <c r="D9" s="110">
        <v>16442</v>
      </c>
      <c r="E9" s="121">
        <f t="shared" si="0"/>
        <v>5000</v>
      </c>
      <c r="F9" s="115">
        <f t="shared" si="1"/>
        <v>2.6001040041601753E-2</v>
      </c>
    </row>
    <row r="10" spans="1:8" ht="15.75" thickBot="1" x14ac:dyDescent="0.3">
      <c r="A10" s="105">
        <v>2021</v>
      </c>
      <c r="B10" s="107">
        <v>199300</v>
      </c>
      <c r="C10" s="107">
        <v>149475</v>
      </c>
      <c r="D10" s="107">
        <v>16608</v>
      </c>
      <c r="E10" s="122">
        <f t="shared" si="0"/>
        <v>2000</v>
      </c>
      <c r="F10" s="116">
        <f t="shared" si="1"/>
        <v>1.0136847440445962E-2</v>
      </c>
    </row>
    <row r="11" spans="1:8" ht="15.75" thickBot="1" x14ac:dyDescent="0.3">
      <c r="A11" s="109">
        <v>2022</v>
      </c>
      <c r="B11" s="110">
        <v>203700</v>
      </c>
      <c r="C11" s="110">
        <v>152775</v>
      </c>
      <c r="D11" s="110">
        <v>16975</v>
      </c>
      <c r="E11" s="122">
        <f t="shared" si="0"/>
        <v>4400</v>
      </c>
      <c r="F11" s="116">
        <f t="shared" si="1"/>
        <v>2.2077270446563046E-2</v>
      </c>
    </row>
    <row r="12" spans="1:8" ht="15.75" thickBot="1" x14ac:dyDescent="0.3">
      <c r="A12" s="105">
        <v>2023</v>
      </c>
      <c r="B12" s="107">
        <v>212100</v>
      </c>
      <c r="C12" s="107">
        <v>159075</v>
      </c>
      <c r="D12" s="107">
        <v>17675</v>
      </c>
      <c r="E12" s="123">
        <f t="shared" si="0"/>
        <v>8400</v>
      </c>
      <c r="F12" s="117">
        <f t="shared" si="1"/>
        <v>4.1237113402061931E-2</v>
      </c>
      <c r="H12" s="106"/>
    </row>
    <row r="13" spans="1:8" ht="15.75" thickBot="1" x14ac:dyDescent="0.3">
      <c r="A13" s="127" t="s">
        <v>138</v>
      </c>
      <c r="B13" s="128">
        <f>D13*12</f>
        <v>217368</v>
      </c>
      <c r="C13" s="128">
        <f>D13*9</f>
        <v>163026</v>
      </c>
      <c r="D13" s="128">
        <f>E15</f>
        <v>18114</v>
      </c>
      <c r="E13" s="247" t="s">
        <v>124</v>
      </c>
      <c r="F13" s="248"/>
      <c r="G13" s="114"/>
    </row>
    <row r="14" spans="1:8" ht="15.75" thickBot="1" x14ac:dyDescent="0.3">
      <c r="A14" s="105"/>
      <c r="B14" s="107"/>
      <c r="C14" s="107"/>
      <c r="D14" s="107"/>
      <c r="E14" s="124">
        <f>AVERAGE(E9:E12)</f>
        <v>4950</v>
      </c>
      <c r="F14" s="120">
        <f>AVERAGE(F9:F12)</f>
        <v>2.4863067832668173E-2</v>
      </c>
    </row>
    <row r="15" spans="1:8" ht="15.75" thickBot="1" x14ac:dyDescent="0.3">
      <c r="E15" s="125">
        <f>ROUND(D12*F14+D12,0)</f>
        <v>18114</v>
      </c>
      <c r="F15" s="126" t="s">
        <v>126</v>
      </c>
    </row>
    <row r="16" spans="1:8" x14ac:dyDescent="0.25">
      <c r="A16" t="s">
        <v>139</v>
      </c>
    </row>
    <row r="17" spans="1:4" ht="15.75" thickBot="1" x14ac:dyDescent="0.3"/>
    <row r="18" spans="1:4" ht="15.75" thickBot="1" x14ac:dyDescent="0.3">
      <c r="A18" t="s">
        <v>129</v>
      </c>
      <c r="B18" s="134">
        <f>(0.5*B12)+(0.5*B13)</f>
        <v>214734</v>
      </c>
      <c r="C18" s="119">
        <f>(0.5*C12)+(0.5*C13)</f>
        <v>161050.5</v>
      </c>
      <c r="D18" s="119">
        <f>(0.5*D12)+(0.5*D13)</f>
        <v>17894.5</v>
      </c>
    </row>
  </sheetData>
  <mergeCells count="1">
    <mergeCell ref="E13:F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53EE-88CF-46B5-846D-3F6F225A85F5}">
  <dimension ref="A1:E12"/>
  <sheetViews>
    <sheetView workbookViewId="0">
      <selection activeCell="E2" sqref="E2:E3"/>
    </sheetView>
  </sheetViews>
  <sheetFormatPr defaultRowHeight="15" x14ac:dyDescent="0.25"/>
  <cols>
    <col min="1" max="1" width="31.42578125" bestFit="1" customWidth="1"/>
    <col min="3" max="3" width="19" bestFit="1" customWidth="1"/>
    <col min="5" max="5" width="14.28515625" bestFit="1" customWidth="1"/>
  </cols>
  <sheetData>
    <row r="1" spans="1:5" x14ac:dyDescent="0.25">
      <c r="A1" t="s">
        <v>3</v>
      </c>
      <c r="C1" t="s">
        <v>140</v>
      </c>
      <c r="E1" s="101" t="s">
        <v>103</v>
      </c>
    </row>
    <row r="2" spans="1:5" x14ac:dyDescent="0.25">
      <c r="A2" s="45">
        <v>0.1</v>
      </c>
      <c r="C2" s="11">
        <v>0.25</v>
      </c>
      <c r="E2" s="129" t="s">
        <v>111</v>
      </c>
    </row>
    <row r="3" spans="1:5" x14ac:dyDescent="0.25">
      <c r="A3" s="45">
        <v>0.15</v>
      </c>
      <c r="C3" s="11">
        <v>0.3</v>
      </c>
      <c r="E3" s="129" t="s">
        <v>115</v>
      </c>
    </row>
    <row r="4" spans="1:5" x14ac:dyDescent="0.25">
      <c r="A4" s="45">
        <v>0.2</v>
      </c>
      <c r="C4" s="11">
        <v>0.35</v>
      </c>
    </row>
    <row r="5" spans="1:5" x14ac:dyDescent="0.25">
      <c r="A5" s="45">
        <v>0.25</v>
      </c>
      <c r="C5" s="11">
        <v>0.4</v>
      </c>
    </row>
    <row r="6" spans="1:5" x14ac:dyDescent="0.25">
      <c r="C6" s="11">
        <v>0.45</v>
      </c>
    </row>
    <row r="7" spans="1:5" x14ac:dyDescent="0.25">
      <c r="C7" s="11">
        <v>0.5</v>
      </c>
    </row>
    <row r="8" spans="1:5" x14ac:dyDescent="0.25">
      <c r="C8" s="11">
        <v>0.55000000000000004</v>
      </c>
    </row>
    <row r="9" spans="1:5" x14ac:dyDescent="0.25">
      <c r="C9" s="11">
        <v>0.6</v>
      </c>
    </row>
    <row r="10" spans="1:5" x14ac:dyDescent="0.25">
      <c r="C10" s="11">
        <v>0.65</v>
      </c>
    </row>
    <row r="11" spans="1:5" x14ac:dyDescent="0.25">
      <c r="C11" s="11">
        <v>0.7</v>
      </c>
    </row>
    <row r="12" spans="1:5" x14ac:dyDescent="0.25">
      <c r="C12" s="11">
        <v>0.75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E95D-CC31-467D-97D2-9F98F1406BA5}">
  <sheetPr>
    <tabColor rgb="FFFFFF00"/>
    <pageSetUpPr fitToPage="1"/>
  </sheetPr>
  <dimension ref="B1:T59"/>
  <sheetViews>
    <sheetView showGridLines="0" tabSelected="1" zoomScaleNormal="100" workbookViewId="0">
      <selection activeCell="B1" sqref="B1:P1"/>
    </sheetView>
  </sheetViews>
  <sheetFormatPr defaultRowHeight="15" x14ac:dyDescent="0.25"/>
  <cols>
    <col min="1" max="1" width="2.5703125" customWidth="1"/>
    <col min="2" max="2" width="54" customWidth="1"/>
    <col min="3" max="3" width="17.42578125" customWidth="1"/>
    <col min="4" max="4" width="26.28515625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12.7109375" bestFit="1" customWidth="1"/>
    <col min="14" max="14" width="2.28515625" customWidth="1"/>
    <col min="15" max="15" width="16" bestFit="1" customWidth="1"/>
    <col min="16" max="16" width="15" customWidth="1"/>
    <col min="17" max="17" width="7.42578125" customWidth="1"/>
    <col min="18" max="19" width="11.5703125" bestFit="1" customWidth="1"/>
  </cols>
  <sheetData>
    <row r="1" spans="2:16" ht="21" x14ac:dyDescent="0.35">
      <c r="B1" s="218" t="s">
        <v>29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6" ht="21" x14ac:dyDescent="0.35">
      <c r="B2" s="218" t="s">
        <v>30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2:16" ht="21.75" thickBot="1" x14ac:dyDescent="0.4"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2:16" ht="15.75" x14ac:dyDescent="0.25">
      <c r="B4" s="55" t="s">
        <v>31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40"/>
    </row>
    <row r="5" spans="2:16" ht="8.25" customHeight="1" thickBot="1" x14ac:dyDescent="0.4">
      <c r="B5" s="41"/>
      <c r="P5" s="10"/>
    </row>
    <row r="6" spans="2:16" ht="15.75" thickBot="1" x14ac:dyDescent="0.3">
      <c r="B6" s="9"/>
      <c r="C6" s="42" t="s">
        <v>2</v>
      </c>
      <c r="D6" s="174">
        <v>185000</v>
      </c>
      <c r="E6" s="42"/>
      <c r="F6" s="42"/>
      <c r="G6" s="42"/>
      <c r="H6" s="43" t="s">
        <v>3</v>
      </c>
      <c r="I6" s="42"/>
      <c r="J6" s="175">
        <v>0.25</v>
      </c>
      <c r="K6" s="42" t="s">
        <v>32</v>
      </c>
      <c r="M6" s="43" t="s">
        <v>4</v>
      </c>
      <c r="N6" s="42"/>
      <c r="O6" s="176">
        <v>0.25</v>
      </c>
      <c r="P6" s="70" t="s">
        <v>32</v>
      </c>
    </row>
    <row r="7" spans="2:16" x14ac:dyDescent="0.25">
      <c r="B7" s="9"/>
      <c r="C7" s="42"/>
      <c r="D7" s="61"/>
      <c r="E7" s="42"/>
      <c r="F7" s="42"/>
      <c r="G7" s="42"/>
      <c r="H7" s="58" t="s">
        <v>33</v>
      </c>
      <c r="I7" s="27" t="s">
        <v>34</v>
      </c>
      <c r="J7" s="59" t="s">
        <v>5</v>
      </c>
      <c r="K7" s="27" t="s">
        <v>35</v>
      </c>
      <c r="M7" s="58" t="s">
        <v>33</v>
      </c>
      <c r="N7" s="27" t="s">
        <v>34</v>
      </c>
      <c r="O7" s="60" t="s">
        <v>6</v>
      </c>
      <c r="P7" s="57" t="s">
        <v>36</v>
      </c>
    </row>
    <row r="8" spans="2:16" ht="9" customHeight="1" thickBot="1" x14ac:dyDescent="0.3">
      <c r="B8" s="9"/>
      <c r="C8" s="42"/>
      <c r="D8" s="62"/>
      <c r="E8" s="42"/>
      <c r="F8" s="42"/>
      <c r="G8" s="42"/>
      <c r="H8" s="58"/>
      <c r="I8" s="27"/>
      <c r="J8" s="63"/>
      <c r="K8" s="27"/>
      <c r="M8" s="58"/>
      <c r="N8" s="27"/>
      <c r="O8" s="64"/>
      <c r="P8" s="57"/>
    </row>
    <row r="9" spans="2:16" ht="15.75" thickBot="1" x14ac:dyDescent="0.3">
      <c r="B9" s="9"/>
      <c r="E9" s="42"/>
      <c r="F9" s="56" t="s">
        <v>37</v>
      </c>
      <c r="G9" s="177">
        <v>0</v>
      </c>
      <c r="H9" s="58"/>
      <c r="I9" s="42"/>
      <c r="K9" s="56" t="s">
        <v>38</v>
      </c>
      <c r="L9" s="177">
        <v>0</v>
      </c>
      <c r="N9" s="27"/>
      <c r="O9" s="64"/>
      <c r="P9" s="57"/>
    </row>
    <row r="10" spans="2:16" ht="15.75" thickBot="1" x14ac:dyDescent="0.3">
      <c r="B10" s="16"/>
      <c r="C10" s="17"/>
      <c r="D10" s="17"/>
      <c r="E10" s="17"/>
      <c r="F10" s="17"/>
      <c r="G10" s="49"/>
      <c r="H10" s="50"/>
      <c r="I10" s="49"/>
      <c r="J10" s="49"/>
      <c r="K10" s="48"/>
      <c r="L10" s="17"/>
      <c r="M10" s="50"/>
      <c r="N10" s="49"/>
      <c r="O10" s="49"/>
      <c r="P10" s="51"/>
    </row>
    <row r="11" spans="2:16" ht="15.75" thickBot="1" x14ac:dyDescent="0.3">
      <c r="J11" s="26"/>
      <c r="O11" s="26"/>
    </row>
    <row r="12" spans="2:16" ht="15.75" thickBot="1" x14ac:dyDescent="0.3">
      <c r="C12" s="219" t="s">
        <v>7</v>
      </c>
      <c r="D12" s="220"/>
      <c r="F12" s="219" t="s">
        <v>8</v>
      </c>
      <c r="G12" s="221"/>
      <c r="H12" s="220"/>
      <c r="J12" s="219" t="s">
        <v>9</v>
      </c>
      <c r="K12" s="221"/>
      <c r="L12" s="221"/>
      <c r="M12" s="220"/>
    </row>
    <row r="13" spans="2:16" ht="45.75" thickBot="1" x14ac:dyDescent="0.3">
      <c r="B13" s="65" t="s">
        <v>21</v>
      </c>
      <c r="C13" s="31" t="s">
        <v>10</v>
      </c>
      <c r="D13" s="31" t="s">
        <v>11</v>
      </c>
      <c r="E13" s="33"/>
      <c r="F13" s="31" t="s">
        <v>12</v>
      </c>
      <c r="G13" s="31" t="s">
        <v>13</v>
      </c>
      <c r="H13" s="31" t="s">
        <v>17</v>
      </c>
      <c r="I13" s="33"/>
      <c r="J13" s="31" t="s">
        <v>4</v>
      </c>
      <c r="K13" s="31" t="s">
        <v>15</v>
      </c>
      <c r="L13" s="31" t="s">
        <v>16</v>
      </c>
      <c r="M13" s="31" t="s">
        <v>17</v>
      </c>
      <c r="N13" s="33"/>
      <c r="O13" s="31" t="s">
        <v>18</v>
      </c>
      <c r="P13" s="34"/>
    </row>
    <row r="14" spans="2:16" ht="15.75" thickBot="1" x14ac:dyDescent="0.3">
      <c r="B14" s="9" t="s">
        <v>21</v>
      </c>
      <c r="C14" s="11">
        <v>1</v>
      </c>
      <c r="D14" s="12">
        <f>+$D$6</f>
        <v>185000</v>
      </c>
      <c r="F14" s="11">
        <f>+C14-J14</f>
        <v>0.75</v>
      </c>
      <c r="G14" s="12">
        <f>+D14</f>
        <v>185000</v>
      </c>
      <c r="H14" s="12">
        <f>+G14*F14</f>
        <v>138750</v>
      </c>
      <c r="J14" s="19">
        <f>+O6</f>
        <v>0.25</v>
      </c>
      <c r="K14" s="13">
        <f>+$J$6</f>
        <v>0.25</v>
      </c>
      <c r="L14" s="12">
        <f>+D14*(1+K14)</f>
        <v>231250</v>
      </c>
      <c r="M14" s="14">
        <f>+J14*L14</f>
        <v>57812.5</v>
      </c>
      <c r="N14" s="14"/>
      <c r="O14" s="14">
        <f>+H14+M14</f>
        <v>196562.5</v>
      </c>
      <c r="P14" s="15">
        <f>+(O14-D14)/D14</f>
        <v>6.25E-2</v>
      </c>
    </row>
    <row r="15" spans="2:16" ht="3.75" customHeight="1" x14ac:dyDescent="0.25">
      <c r="B15" s="9"/>
      <c r="C15" s="11"/>
      <c r="D15" s="12"/>
      <c r="F15" s="11"/>
      <c r="G15" s="12"/>
      <c r="H15" s="12"/>
      <c r="J15" s="4"/>
      <c r="K15" s="13"/>
      <c r="L15" s="12"/>
      <c r="M15" s="14"/>
      <c r="N15" s="14"/>
      <c r="O15" s="14"/>
      <c r="P15" s="15"/>
    </row>
    <row r="16" spans="2:16" ht="15.75" thickBot="1" x14ac:dyDescent="0.3">
      <c r="B16" s="9"/>
      <c r="C16" s="67" t="s">
        <v>39</v>
      </c>
      <c r="D16" s="12"/>
      <c r="F16" s="67" t="s">
        <v>39</v>
      </c>
      <c r="G16" s="12"/>
      <c r="H16" s="12"/>
      <c r="J16" s="68"/>
      <c r="K16" s="67" t="s">
        <v>39</v>
      </c>
      <c r="L16" s="12"/>
      <c r="M16" s="14"/>
      <c r="N16" s="14"/>
      <c r="O16" s="14"/>
      <c r="P16" s="15"/>
    </row>
    <row r="17" spans="2:18" ht="15.75" thickBot="1" x14ac:dyDescent="0.3">
      <c r="B17" s="9" t="s">
        <v>23</v>
      </c>
      <c r="C17" s="11">
        <f>G9</f>
        <v>0</v>
      </c>
      <c r="D17" s="1">
        <f>+D14*0.02778*C17</f>
        <v>0</v>
      </c>
      <c r="F17" s="11">
        <f>C17-K17</f>
        <v>0</v>
      </c>
      <c r="G17" s="14">
        <f>+G14</f>
        <v>185000</v>
      </c>
      <c r="H17" s="12">
        <f>((+D14)*0.02778)*F17</f>
        <v>0</v>
      </c>
      <c r="J17" s="19">
        <v>1</v>
      </c>
      <c r="K17" s="66">
        <f>L9</f>
        <v>0</v>
      </c>
      <c r="L17" s="12">
        <f>+L14</f>
        <v>231250</v>
      </c>
      <c r="M17" s="12">
        <f>((+L17)*0.02778)*K17</f>
        <v>0</v>
      </c>
      <c r="N17" s="14"/>
      <c r="O17" s="2">
        <f>+M17+H17</f>
        <v>0</v>
      </c>
      <c r="P17" s="15">
        <f>IF(K17&gt;0,(+(O17-D17)/D17),0)</f>
        <v>0</v>
      </c>
    </row>
    <row r="18" spans="2:18" ht="15.75" thickBot="1" x14ac:dyDescent="0.3">
      <c r="B18" s="9"/>
      <c r="D18" s="14">
        <f>SUM(D14:D17)</f>
        <v>185000</v>
      </c>
      <c r="G18" s="26" t="s">
        <v>26</v>
      </c>
      <c r="O18" s="14">
        <f>SUM(O14:O17)</f>
        <v>196562.5</v>
      </c>
      <c r="P18" s="22">
        <f>+(O18-D18)/D18</f>
        <v>6.25E-2</v>
      </c>
    </row>
    <row r="19" spans="2:18" ht="5.25" customHeight="1" thickBot="1" x14ac:dyDescent="0.3">
      <c r="B19" s="9"/>
      <c r="D19" s="14"/>
      <c r="O19" s="14"/>
      <c r="P19" s="69"/>
    </row>
    <row r="20" spans="2:18" ht="15.75" thickBot="1" x14ac:dyDescent="0.3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52"/>
      <c r="M20" s="53" t="s">
        <v>20</v>
      </c>
      <c r="N20" s="54"/>
      <c r="O20" s="89">
        <f>+O18-D18</f>
        <v>11562.5</v>
      </c>
      <c r="P20" s="18"/>
    </row>
    <row r="22" spans="2:18" x14ac:dyDescent="0.25">
      <c r="B22" s="27" t="s">
        <v>27</v>
      </c>
    </row>
    <row r="23" spans="2:18" s="72" customFormat="1" x14ac:dyDescent="0.25">
      <c r="B23" s="71" t="s">
        <v>153</v>
      </c>
      <c r="J23" s="201" t="s">
        <v>40</v>
      </c>
      <c r="K23" s="201"/>
      <c r="L23" s="201"/>
      <c r="M23" s="201"/>
      <c r="N23"/>
      <c r="O23"/>
      <c r="P23"/>
      <c r="Q23"/>
      <c r="R23"/>
    </row>
    <row r="24" spans="2:18" x14ac:dyDescent="0.25">
      <c r="K24" s="232" t="s">
        <v>41</v>
      </c>
      <c r="L24" s="232"/>
      <c r="M24" s="14"/>
    </row>
    <row r="25" spans="2:18" x14ac:dyDescent="0.25">
      <c r="J25" t="s">
        <v>2</v>
      </c>
      <c r="M25" s="86">
        <f>D6</f>
        <v>185000</v>
      </c>
      <c r="P25" s="73"/>
    </row>
    <row r="26" spans="2:18" ht="24" customHeight="1" x14ac:dyDescent="0.25">
      <c r="B26" t="s">
        <v>2</v>
      </c>
      <c r="C26" s="86">
        <f>D6</f>
        <v>185000</v>
      </c>
      <c r="J26" t="s">
        <v>42</v>
      </c>
      <c r="M26" s="87">
        <f>O6</f>
        <v>0.25</v>
      </c>
      <c r="O26" s="73"/>
    </row>
    <row r="27" spans="2:18" ht="24" customHeight="1" x14ac:dyDescent="0.25">
      <c r="B27" t="s">
        <v>42</v>
      </c>
      <c r="C27" s="87">
        <f>O6</f>
        <v>0.25</v>
      </c>
      <c r="J27" t="s">
        <v>43</v>
      </c>
      <c r="M27" s="85">
        <f>J6</f>
        <v>0.25</v>
      </c>
      <c r="O27" s="136"/>
    </row>
    <row r="28" spans="2:18" ht="24" customHeight="1" thickBot="1" x14ac:dyDescent="0.3">
      <c r="B28" t="s">
        <v>43</v>
      </c>
      <c r="C28" s="85">
        <f>J6</f>
        <v>0.25</v>
      </c>
    </row>
    <row r="29" spans="2:18" ht="24" customHeight="1" thickBot="1" x14ac:dyDescent="0.3">
      <c r="J29" s="202" t="s">
        <v>44</v>
      </c>
      <c r="K29" s="206"/>
      <c r="L29" s="206"/>
      <c r="M29" s="207"/>
    </row>
    <row r="30" spans="2:18" ht="24" customHeight="1" thickBot="1" x14ac:dyDescent="0.3">
      <c r="B30" s="76" t="s">
        <v>45</v>
      </c>
      <c r="C30" s="40"/>
      <c r="J30" s="9" t="s">
        <v>46</v>
      </c>
      <c r="M30" s="178">
        <v>0</v>
      </c>
    </row>
    <row r="31" spans="2:18" ht="24" customHeight="1" thickBot="1" x14ac:dyDescent="0.3">
      <c r="B31" s="9" t="s">
        <v>47</v>
      </c>
      <c r="C31" s="95">
        <f>C27*C26</f>
        <v>46250</v>
      </c>
      <c r="J31" s="9" t="s">
        <v>48</v>
      </c>
      <c r="M31" s="178">
        <v>0</v>
      </c>
      <c r="O31" s="158" t="str">
        <f>IF(M31&lt;=C27,"","FTE Exceeds FERAP FTE")</f>
        <v/>
      </c>
    </row>
    <row r="32" spans="2:18" ht="24" customHeight="1" thickBot="1" x14ac:dyDescent="0.3">
      <c r="B32" s="9" t="s">
        <v>49</v>
      </c>
      <c r="C32" s="96">
        <f>C28*C26*C27</f>
        <v>11562.5</v>
      </c>
      <c r="J32" s="6"/>
      <c r="K32" s="6"/>
      <c r="L32" s="6"/>
      <c r="M32" s="5"/>
    </row>
    <row r="33" spans="2:20" ht="24" customHeight="1" x14ac:dyDescent="0.25">
      <c r="B33" s="9"/>
      <c r="C33" s="95"/>
      <c r="J33" s="205" t="s">
        <v>50</v>
      </c>
      <c r="K33" s="206"/>
      <c r="L33" s="206"/>
      <c r="M33" s="206"/>
      <c r="N33" s="206"/>
      <c r="O33" s="207"/>
    </row>
    <row r="34" spans="2:20" ht="24" customHeight="1" thickBot="1" x14ac:dyDescent="0.3">
      <c r="B34" s="77" t="s">
        <v>51</v>
      </c>
      <c r="C34" s="97">
        <f>SUM(C31:C32)</f>
        <v>57812.5</v>
      </c>
      <c r="J34" s="137"/>
      <c r="K34" s="138"/>
      <c r="L34" s="138"/>
      <c r="M34" s="138" t="s">
        <v>52</v>
      </c>
      <c r="N34" s="138"/>
      <c r="O34" s="139" t="s">
        <v>53</v>
      </c>
    </row>
    <row r="35" spans="2:20" ht="24" customHeight="1" thickBot="1" x14ac:dyDescent="0.3">
      <c r="C35" s="75"/>
      <c r="J35" s="130" t="s">
        <v>54</v>
      </c>
      <c r="K35" s="131"/>
      <c r="L35" s="131"/>
      <c r="M35" s="141">
        <f>IF((M25-'NIH Salary Cap Updated'!C21)&lt;0,0,((M25-'NIH Salary Cap Updated'!C21)))</f>
        <v>14000</v>
      </c>
      <c r="N35" s="131"/>
      <c r="O35" s="132">
        <f>IF(($M$25-'NIH Salary Cap Updated'!$C$21)&lt;0,0,(($M$25-'NIH Salary Cap Updated'!$C$21)*$M$30))</f>
        <v>0</v>
      </c>
      <c r="R35" s="73"/>
    </row>
    <row r="36" spans="2:20" ht="24" customHeight="1" thickBot="1" x14ac:dyDescent="0.3">
      <c r="B36" s="76" t="s">
        <v>55</v>
      </c>
      <c r="C36" s="78"/>
      <c r="J36" s="9" t="s">
        <v>56</v>
      </c>
      <c r="M36" s="73"/>
      <c r="O36" s="96">
        <f>IF((($M$25-'NIH Salary Cap Updated'!$C$21)*($M$31-$M$30))&lt;0,0,(($M$25-'NIH Salary Cap Updated'!$C$21)*($M$31-$M$30)))</f>
        <v>0</v>
      </c>
      <c r="S36" s="73"/>
      <c r="T36" s="73"/>
    </row>
    <row r="37" spans="2:20" ht="24" customHeight="1" thickBot="1" x14ac:dyDescent="0.3">
      <c r="B37" s="9" t="s">
        <v>46</v>
      </c>
      <c r="C37" s="178">
        <v>0</v>
      </c>
      <c r="J37" s="130" t="s">
        <v>57</v>
      </c>
      <c r="K37" s="131"/>
      <c r="L37" s="131"/>
      <c r="M37" s="141">
        <f>($M$25*(1+$M$27))-'NIH Salary Cap Updated'!$C$21</f>
        <v>60250</v>
      </c>
      <c r="N37" s="131"/>
      <c r="O37" s="135">
        <f>((($M$25*(1+$M$27))-('NIH Salary Cap Updated'!C21))*$M$31)-O36-O35</f>
        <v>0</v>
      </c>
      <c r="R37" s="73"/>
    </row>
    <row r="38" spans="2:20" ht="24" customHeight="1" thickBot="1" x14ac:dyDescent="0.3">
      <c r="B38" s="16" t="s">
        <v>58</v>
      </c>
      <c r="C38" s="98">
        <f>C37*C26</f>
        <v>0</v>
      </c>
      <c r="J38" s="16" t="s">
        <v>59</v>
      </c>
      <c r="K38" s="133"/>
      <c r="L38" s="133"/>
      <c r="M38" s="133"/>
      <c r="N38" s="133"/>
      <c r="O38" s="142">
        <f>SUM(O35:O37)</f>
        <v>0</v>
      </c>
      <c r="T38" s="73"/>
    </row>
    <row r="39" spans="2:20" ht="24" customHeight="1" x14ac:dyDescent="0.25">
      <c r="C39" s="99"/>
      <c r="D39" s="26" t="s">
        <v>60</v>
      </c>
      <c r="J39" s="208" t="s">
        <v>61</v>
      </c>
      <c r="K39" s="209"/>
      <c r="L39" s="209"/>
      <c r="M39" s="209"/>
      <c r="N39" s="209"/>
      <c r="O39" s="144"/>
    </row>
    <row r="40" spans="2:20" ht="15.75" thickBot="1" x14ac:dyDescent="0.3">
      <c r="B40" t="s">
        <v>62</v>
      </c>
      <c r="C40" s="14">
        <f>D40*(C34-C38)</f>
        <v>15609.375000000002</v>
      </c>
      <c r="D40" s="179">
        <v>0.27</v>
      </c>
      <c r="E40" t="s">
        <v>63</v>
      </c>
      <c r="J40" s="210"/>
      <c r="K40" s="211"/>
      <c r="L40" s="211"/>
      <c r="M40" s="211"/>
      <c r="N40" s="211"/>
      <c r="O40" s="146">
        <f>O38-O35</f>
        <v>0</v>
      </c>
    </row>
    <row r="41" spans="2:20" ht="15.75" thickBot="1" x14ac:dyDescent="0.3">
      <c r="B41" t="s">
        <v>64</v>
      </c>
      <c r="C41" s="14">
        <f>D41*(C34-C38+C40)</f>
        <v>41850.46875</v>
      </c>
      <c r="D41" s="179">
        <v>0.56999999999999995</v>
      </c>
      <c r="E41" t="s">
        <v>65</v>
      </c>
    </row>
    <row r="42" spans="2:20" ht="24" customHeight="1" thickBot="1" x14ac:dyDescent="0.3">
      <c r="C42" s="14"/>
      <c r="J42" s="212" t="s">
        <v>66</v>
      </c>
      <c r="K42" s="213"/>
      <c r="L42" s="213"/>
      <c r="M42" s="213"/>
      <c r="N42" s="214"/>
      <c r="O42" s="92">
        <f>C54-O40</f>
        <v>46250</v>
      </c>
      <c r="P42" s="147"/>
    </row>
    <row r="43" spans="2:20" ht="19.5" customHeight="1" thickBot="1" x14ac:dyDescent="0.3">
      <c r="B43" s="74" t="s">
        <v>67</v>
      </c>
      <c r="C43" s="100">
        <f>(C34-C38)+C40+C41</f>
        <v>115272.34375</v>
      </c>
      <c r="D43" t="s">
        <v>68</v>
      </c>
      <c r="J43" s="215" t="s">
        <v>69</v>
      </c>
      <c r="K43" s="216"/>
      <c r="L43" s="216"/>
      <c r="M43" s="216"/>
      <c r="N43" s="217"/>
      <c r="O43" s="165">
        <f>C55-O40</f>
        <v>46250</v>
      </c>
    </row>
    <row r="44" spans="2:20" ht="16.5" thickTop="1" thickBot="1" x14ac:dyDescent="0.3">
      <c r="J44" s="171" t="s">
        <v>70</v>
      </c>
      <c r="K44" s="172"/>
      <c r="L44" s="172"/>
      <c r="M44" s="172"/>
      <c r="N44" s="172"/>
      <c r="O44" s="181">
        <v>0</v>
      </c>
    </row>
    <row r="45" spans="2:20" ht="15.75" thickBot="1" x14ac:dyDescent="0.3">
      <c r="B45" s="79" t="s">
        <v>71</v>
      </c>
      <c r="C45" s="80" t="s">
        <v>72</v>
      </c>
      <c r="D45" s="80" t="s">
        <v>73</v>
      </c>
      <c r="E45" s="200"/>
      <c r="F45" s="200"/>
      <c r="G45" s="200"/>
      <c r="J45" s="167" t="s">
        <v>74</v>
      </c>
      <c r="K45" s="168"/>
      <c r="L45" s="168"/>
      <c r="M45" s="168"/>
      <c r="N45" s="168"/>
      <c r="O45" s="169">
        <f>O43-O44</f>
        <v>46250</v>
      </c>
    </row>
    <row r="46" spans="2:20" ht="15.75" thickBot="1" x14ac:dyDescent="0.3">
      <c r="B46" s="180" t="s">
        <v>99</v>
      </c>
      <c r="C46" s="179">
        <v>0</v>
      </c>
      <c r="D46" s="94">
        <f t="shared" ref="D46:D52" si="0">C46*$C$34</f>
        <v>0</v>
      </c>
      <c r="E46" s="200"/>
      <c r="F46" s="200"/>
      <c r="G46" s="200"/>
      <c r="K46" s="166"/>
      <c r="L46" s="166"/>
      <c r="M46" s="166"/>
      <c r="N46" s="166"/>
      <c r="O46" s="166"/>
      <c r="P46" s="166"/>
      <c r="Q46" s="166"/>
      <c r="R46" s="166"/>
      <c r="S46" s="166"/>
      <c r="T46" s="166"/>
    </row>
    <row r="47" spans="2:20" ht="15.75" thickBot="1" x14ac:dyDescent="0.3">
      <c r="B47" s="180" t="s">
        <v>100</v>
      </c>
      <c r="C47" s="179">
        <v>0</v>
      </c>
      <c r="D47" s="94">
        <f t="shared" si="0"/>
        <v>0</v>
      </c>
      <c r="E47" s="200"/>
      <c r="F47" s="200"/>
      <c r="G47" s="200"/>
      <c r="J47" s="223" t="s">
        <v>75</v>
      </c>
      <c r="K47" s="224"/>
      <c r="L47" s="224"/>
      <c r="M47" s="224"/>
      <c r="N47" s="224"/>
      <c r="O47" s="225"/>
    </row>
    <row r="48" spans="2:20" x14ac:dyDescent="0.25">
      <c r="B48" s="180" t="s">
        <v>76</v>
      </c>
      <c r="C48" s="179">
        <v>0</v>
      </c>
      <c r="D48" s="94">
        <f t="shared" si="0"/>
        <v>0</v>
      </c>
      <c r="E48" s="200"/>
      <c r="F48" s="200"/>
      <c r="G48" s="200"/>
      <c r="J48" s="233" t="s">
        <v>141</v>
      </c>
      <c r="K48" s="234"/>
      <c r="L48" s="234"/>
      <c r="M48" s="234"/>
      <c r="N48" s="234"/>
      <c r="O48" s="235"/>
    </row>
    <row r="49" spans="2:16" x14ac:dyDescent="0.25">
      <c r="B49" s="180" t="s">
        <v>77</v>
      </c>
      <c r="C49" s="179">
        <v>0</v>
      </c>
      <c r="D49" s="94">
        <f t="shared" si="0"/>
        <v>0</v>
      </c>
      <c r="E49" s="200"/>
      <c r="F49" s="200"/>
      <c r="G49" s="200"/>
      <c r="J49" s="233"/>
      <c r="K49" s="234"/>
      <c r="L49" s="234"/>
      <c r="M49" s="234"/>
      <c r="N49" s="234"/>
      <c r="O49" s="235"/>
    </row>
    <row r="50" spans="2:16" x14ac:dyDescent="0.25">
      <c r="B50" s="180" t="s">
        <v>78</v>
      </c>
      <c r="C50" s="179">
        <v>0</v>
      </c>
      <c r="D50" s="94">
        <f t="shared" si="0"/>
        <v>0</v>
      </c>
      <c r="E50" s="200"/>
      <c r="F50" s="200"/>
      <c r="G50" s="200"/>
      <c r="J50" s="233"/>
      <c r="K50" s="234"/>
      <c r="L50" s="234"/>
      <c r="M50" s="234"/>
      <c r="N50" s="234"/>
      <c r="O50" s="235"/>
    </row>
    <row r="51" spans="2:16" x14ac:dyDescent="0.25">
      <c r="B51" s="180" t="s">
        <v>79</v>
      </c>
      <c r="C51" s="179">
        <v>0</v>
      </c>
      <c r="D51" s="94">
        <f t="shared" si="0"/>
        <v>0</v>
      </c>
      <c r="E51" s="200"/>
      <c r="F51" s="200"/>
      <c r="G51" s="200"/>
      <c r="J51" s="233"/>
      <c r="K51" s="234"/>
      <c r="L51" s="234"/>
      <c r="M51" s="234"/>
      <c r="N51" s="234"/>
      <c r="O51" s="235"/>
    </row>
    <row r="52" spans="2:16" ht="15.75" thickBot="1" x14ac:dyDescent="0.3">
      <c r="B52" s="180" t="s">
        <v>80</v>
      </c>
      <c r="C52" s="179">
        <v>0</v>
      </c>
      <c r="D52" s="94">
        <f t="shared" si="0"/>
        <v>0</v>
      </c>
      <c r="J52" s="236"/>
      <c r="K52" s="237"/>
      <c r="L52" s="237"/>
      <c r="M52" s="237"/>
      <c r="N52" s="237"/>
      <c r="O52" s="238"/>
    </row>
    <row r="53" spans="2:16" ht="15.75" thickBot="1" x14ac:dyDescent="0.3">
      <c r="J53" s="170"/>
      <c r="K53" s="170"/>
      <c r="L53" s="170"/>
      <c r="M53" s="170"/>
      <c r="N53" s="170"/>
      <c r="O53" s="170"/>
    </row>
    <row r="54" spans="2:16" ht="15.75" customHeight="1" thickBot="1" x14ac:dyDescent="0.3">
      <c r="B54" s="91" t="s">
        <v>81</v>
      </c>
      <c r="C54" s="92">
        <f>C31-C38</f>
        <v>46250</v>
      </c>
      <c r="J54" s="222" t="s">
        <v>151</v>
      </c>
      <c r="K54" s="222"/>
      <c r="L54" s="222"/>
      <c r="M54" s="222"/>
      <c r="N54" s="222"/>
      <c r="O54" s="222"/>
      <c r="P54" s="222"/>
    </row>
    <row r="55" spans="2:16" ht="15.75" thickBot="1" x14ac:dyDescent="0.3">
      <c r="B55" s="164" t="s">
        <v>82</v>
      </c>
      <c r="C55" s="165">
        <f>C31</f>
        <v>46250</v>
      </c>
      <c r="J55" s="222"/>
      <c r="K55" s="222"/>
      <c r="L55" s="222"/>
      <c r="M55" s="222"/>
      <c r="N55" s="222"/>
      <c r="O55" s="222"/>
      <c r="P55" s="222"/>
    </row>
    <row r="57" spans="2:16" x14ac:dyDescent="0.25">
      <c r="B57" s="27" t="s">
        <v>83</v>
      </c>
      <c r="J57" s="166"/>
    </row>
    <row r="58" spans="2:16" x14ac:dyDescent="0.25">
      <c r="J58" s="166"/>
    </row>
    <row r="59" spans="2:16" x14ac:dyDescent="0.25">
      <c r="B59" s="188" t="s">
        <v>152</v>
      </c>
    </row>
  </sheetData>
  <sheetProtection algorithmName="SHA-512" hashValue="7CtijxkGPg2/FMe31z7cQ5n9YFwirhzzlR4CzK/RuPhuVEajEqPVm52sq5OjGS/Lfo98cKpqY98QxYAKtQwODw==" saltValue="gSm2LlzpvWLXDj9d16rc0A==" spinCount="100000" sheet="1"/>
  <protectedRanges>
    <protectedRange sqref="B10:G10 Q10:XFD10 B5:B9 C4:XFD8 N9:XFD9 E9:F9" name="Parameters"/>
    <protectedRange sqref="H10:P10" name="Parameters_1"/>
    <protectedRange sqref="B4" name="Parameters_2"/>
    <protectedRange sqref="K9:L9 G9:I9" name="Parameters_3"/>
    <protectedRange sqref="C37 D40:D41 D6 J6 O6 G9 L9 M30:M31 B46:C52" name="Range5"/>
  </protectedRanges>
  <mergeCells count="22">
    <mergeCell ref="J54:P55"/>
    <mergeCell ref="E48:G48"/>
    <mergeCell ref="E49:G49"/>
    <mergeCell ref="E50:G50"/>
    <mergeCell ref="E51:G51"/>
    <mergeCell ref="E47:G47"/>
    <mergeCell ref="J43:N43"/>
    <mergeCell ref="J47:O47"/>
    <mergeCell ref="J48:O52"/>
    <mergeCell ref="J29:M29"/>
    <mergeCell ref="J33:O33"/>
    <mergeCell ref="J39:N40"/>
    <mergeCell ref="J42:N42"/>
    <mergeCell ref="E45:G45"/>
    <mergeCell ref="E46:G46"/>
    <mergeCell ref="K24:L24"/>
    <mergeCell ref="B1:P1"/>
    <mergeCell ref="C12:D12"/>
    <mergeCell ref="F12:H12"/>
    <mergeCell ref="J12:M12"/>
    <mergeCell ref="J23:M23"/>
    <mergeCell ref="B2:P2"/>
  </mergeCells>
  <phoneticPr fontId="21" type="noConversion"/>
  <printOptions horizontalCentered="1"/>
  <pageMargins left="0.25" right="0.25" top="0.68" bottom="0.33" header="0.3" footer="0.3"/>
  <pageSetup scale="5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FDD466-227B-45E4-B256-1912FCE91453}">
          <x14:formula1>
            <xm:f>Lists!$C$2:$C$12</xm:f>
          </x14:formula1>
          <xm:sqref>O6</xm:sqref>
        </x14:dataValidation>
        <x14:dataValidation type="list" allowBlank="1" showInputMessage="1" showErrorMessage="1" xr:uid="{8D105907-220F-4C63-81BA-CC9C41A44806}">
          <x14:formula1>
            <xm:f>Lists!$A$2:$A$5</xm:f>
          </x14:formula1>
          <xm:sqref>J6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117EB-3CC7-4AD5-B6A9-215CF8E8CF24}">
  <sheetPr>
    <tabColor rgb="FFFFFF00"/>
    <pageSetUpPr fitToPage="1"/>
  </sheetPr>
  <dimension ref="B1:P52"/>
  <sheetViews>
    <sheetView showGridLines="0" zoomScale="110" zoomScaleNormal="110" workbookViewId="0">
      <selection activeCell="B1" sqref="B1:P1"/>
    </sheetView>
  </sheetViews>
  <sheetFormatPr defaultRowHeight="15" x14ac:dyDescent="0.25"/>
  <cols>
    <col min="1" max="1" width="2.5703125" customWidth="1"/>
    <col min="2" max="2" width="54" customWidth="1"/>
    <col min="3" max="3" width="17.42578125" customWidth="1"/>
    <col min="4" max="4" width="26.28515625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15.140625" customWidth="1"/>
    <col min="14" max="14" width="2.28515625" customWidth="1"/>
    <col min="15" max="15" width="15.5703125" customWidth="1"/>
    <col min="16" max="16" width="12.85546875" customWidth="1"/>
    <col min="17" max="17" width="2.5703125" customWidth="1"/>
    <col min="18" max="18" width="10" bestFit="1" customWidth="1"/>
  </cols>
  <sheetData>
    <row r="1" spans="2:16" ht="21" x14ac:dyDescent="0.35">
      <c r="B1" s="218" t="s">
        <v>84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6" ht="21" x14ac:dyDescent="0.35">
      <c r="B2" s="218" t="s">
        <v>30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2:16" ht="21.75" thickBot="1" x14ac:dyDescent="0.4"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2:16" ht="21" x14ac:dyDescent="0.35">
      <c r="B4" s="39" t="s">
        <v>85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40"/>
    </row>
    <row r="5" spans="2:16" ht="8.25" customHeight="1" x14ac:dyDescent="0.35">
      <c r="B5" s="41"/>
      <c r="P5" s="10"/>
    </row>
    <row r="6" spans="2:16" x14ac:dyDescent="0.25">
      <c r="B6" s="9"/>
      <c r="C6" s="42" t="s">
        <v>86</v>
      </c>
      <c r="D6" s="182">
        <v>200000</v>
      </c>
      <c r="E6" s="42"/>
      <c r="F6" s="42"/>
      <c r="G6" s="42"/>
      <c r="H6" s="43" t="s">
        <v>3</v>
      </c>
      <c r="I6" s="42"/>
      <c r="J6" s="183">
        <v>0.25</v>
      </c>
      <c r="K6" s="42" t="s">
        <v>32</v>
      </c>
      <c r="M6" s="43" t="s">
        <v>4</v>
      </c>
      <c r="N6" s="42"/>
      <c r="O6" s="184">
        <v>0.25</v>
      </c>
      <c r="P6" s="70" t="s">
        <v>32</v>
      </c>
    </row>
    <row r="7" spans="2:16" ht="15.75" thickBot="1" x14ac:dyDescent="0.3">
      <c r="B7" s="16"/>
      <c r="C7" s="17"/>
      <c r="D7" s="17"/>
      <c r="E7" s="17"/>
      <c r="F7" s="17"/>
      <c r="G7" s="17"/>
      <c r="H7" s="50" t="s">
        <v>33</v>
      </c>
      <c r="I7" s="49" t="s">
        <v>34</v>
      </c>
      <c r="J7" s="49" t="s">
        <v>5</v>
      </c>
      <c r="K7" s="48" t="s">
        <v>35</v>
      </c>
      <c r="L7" s="17"/>
      <c r="M7" s="50" t="s">
        <v>33</v>
      </c>
      <c r="N7" s="49" t="s">
        <v>34</v>
      </c>
      <c r="O7" s="49" t="s">
        <v>6</v>
      </c>
      <c r="P7" s="51" t="s">
        <v>35</v>
      </c>
    </row>
    <row r="8" spans="2:16" ht="15.75" thickBot="1" x14ac:dyDescent="0.3">
      <c r="J8" s="26"/>
      <c r="O8" s="26"/>
    </row>
    <row r="9" spans="2:16" ht="15.75" thickBot="1" x14ac:dyDescent="0.3">
      <c r="C9" s="219" t="s">
        <v>7</v>
      </c>
      <c r="D9" s="220"/>
      <c r="F9" s="219" t="s">
        <v>8</v>
      </c>
      <c r="G9" s="221"/>
      <c r="H9" s="220"/>
      <c r="J9" s="219" t="s">
        <v>9</v>
      </c>
      <c r="K9" s="221"/>
      <c r="L9" s="221"/>
      <c r="M9" s="220"/>
    </row>
    <row r="10" spans="2:16" s="29" customFormat="1" ht="45.75" thickBot="1" x14ac:dyDescent="0.3">
      <c r="B10" s="65" t="s">
        <v>19</v>
      </c>
      <c r="C10" s="31" t="s">
        <v>10</v>
      </c>
      <c r="D10" s="31" t="s">
        <v>11</v>
      </c>
      <c r="E10" s="33"/>
      <c r="F10" s="31" t="s">
        <v>12</v>
      </c>
      <c r="G10" s="31" t="s">
        <v>13</v>
      </c>
      <c r="H10" s="31" t="s">
        <v>17</v>
      </c>
      <c r="I10" s="33"/>
      <c r="J10" s="31" t="s">
        <v>4</v>
      </c>
      <c r="K10" s="31" t="s">
        <v>15</v>
      </c>
      <c r="L10" s="31" t="s">
        <v>16</v>
      </c>
      <c r="M10" s="31" t="s">
        <v>17</v>
      </c>
      <c r="N10" s="33"/>
      <c r="O10" s="31" t="s">
        <v>18</v>
      </c>
      <c r="P10" s="34"/>
    </row>
    <row r="11" spans="2:16" ht="15.75" thickBot="1" x14ac:dyDescent="0.3">
      <c r="B11" s="3" t="s">
        <v>19</v>
      </c>
      <c r="C11" s="4">
        <v>1</v>
      </c>
      <c r="D11" s="5">
        <f>D6</f>
        <v>200000</v>
      </c>
      <c r="E11" s="6"/>
      <c r="F11" s="4">
        <f>+C11-J11</f>
        <v>0.75</v>
      </c>
      <c r="G11" s="5">
        <f>+D11</f>
        <v>200000</v>
      </c>
      <c r="H11" s="5">
        <f>+G11*F11</f>
        <v>150000</v>
      </c>
      <c r="I11" s="6"/>
      <c r="J11" s="19">
        <f>+O6</f>
        <v>0.25</v>
      </c>
      <c r="K11" s="7">
        <f>+$J$6</f>
        <v>0.25</v>
      </c>
      <c r="L11" s="5">
        <f>+D11*(1+K11)</f>
        <v>250000</v>
      </c>
      <c r="M11" s="8">
        <f>+J11*L11</f>
        <v>62500</v>
      </c>
      <c r="N11" s="6"/>
      <c r="O11" s="8">
        <f>+H11+M11</f>
        <v>212500</v>
      </c>
      <c r="P11" s="22">
        <f>+(O11-D11)/D11</f>
        <v>6.25E-2</v>
      </c>
    </row>
    <row r="12" spans="2:16" ht="5.25" customHeight="1" thickBot="1" x14ac:dyDescent="0.3">
      <c r="B12" s="9"/>
      <c r="C12" s="11"/>
      <c r="D12" s="12"/>
      <c r="F12" s="11"/>
      <c r="G12" s="12"/>
      <c r="H12" s="12"/>
      <c r="J12" s="4"/>
      <c r="K12" s="13"/>
      <c r="L12" s="5"/>
      <c r="M12" s="8"/>
      <c r="N12" s="6"/>
      <c r="O12" s="8"/>
      <c r="P12" s="69"/>
    </row>
    <row r="13" spans="2:16" ht="15.75" thickBot="1" x14ac:dyDescent="0.3">
      <c r="B13" s="16"/>
      <c r="C13" s="17"/>
      <c r="D13" s="17"/>
      <c r="E13" s="17"/>
      <c r="F13" s="17"/>
      <c r="G13" s="17"/>
      <c r="H13" s="17"/>
      <c r="I13" s="17"/>
      <c r="J13" s="17"/>
      <c r="K13" s="46"/>
      <c r="L13" s="52"/>
      <c r="M13" s="53" t="s">
        <v>20</v>
      </c>
      <c r="N13" s="54"/>
      <c r="O13" s="47">
        <f>+O11-D11</f>
        <v>12500</v>
      </c>
      <c r="P13" s="18"/>
    </row>
    <row r="15" spans="2:16" x14ac:dyDescent="0.25">
      <c r="B15" s="27" t="s">
        <v>154</v>
      </c>
    </row>
    <row r="17" spans="2:16" x14ac:dyDescent="0.25">
      <c r="B17" t="s">
        <v>86</v>
      </c>
      <c r="C17" s="86">
        <f>D6</f>
        <v>200000</v>
      </c>
      <c r="J17" s="201" t="s">
        <v>40</v>
      </c>
      <c r="K17" s="201"/>
      <c r="L17" s="201"/>
      <c r="M17" s="201"/>
    </row>
    <row r="18" spans="2:16" x14ac:dyDescent="0.25">
      <c r="B18" t="s">
        <v>42</v>
      </c>
      <c r="C18" s="87">
        <f>O6</f>
        <v>0.25</v>
      </c>
      <c r="M18" s="14"/>
    </row>
    <row r="19" spans="2:16" x14ac:dyDescent="0.25">
      <c r="B19" t="s">
        <v>43</v>
      </c>
      <c r="C19" s="85">
        <f>J6</f>
        <v>0.25</v>
      </c>
      <c r="J19" t="s">
        <v>86</v>
      </c>
      <c r="M19" s="86">
        <f>D6</f>
        <v>200000</v>
      </c>
      <c r="P19" s="73"/>
    </row>
    <row r="20" spans="2:16" ht="15.75" thickBot="1" x14ac:dyDescent="0.3">
      <c r="J20" t="s">
        <v>42</v>
      </c>
      <c r="M20" s="87">
        <f>O6</f>
        <v>0.25</v>
      </c>
    </row>
    <row r="21" spans="2:16" x14ac:dyDescent="0.25">
      <c r="B21" s="76" t="s">
        <v>87</v>
      </c>
      <c r="C21" s="40"/>
      <c r="J21" t="s">
        <v>43</v>
      </c>
      <c r="M21" s="85">
        <f>J6</f>
        <v>0.25</v>
      </c>
      <c r="O21" s="136"/>
    </row>
    <row r="22" spans="2:16" ht="15.75" thickBot="1" x14ac:dyDescent="0.3">
      <c r="B22" s="9" t="s">
        <v>143</v>
      </c>
      <c r="C22" s="95">
        <f>C18*C17</f>
        <v>50000</v>
      </c>
    </row>
    <row r="23" spans="2:16" ht="15.75" thickBot="1" x14ac:dyDescent="0.3">
      <c r="B23" s="9" t="s">
        <v>144</v>
      </c>
      <c r="C23" s="96">
        <f>C19*C17*C18</f>
        <v>12500</v>
      </c>
      <c r="J23" s="202" t="s">
        <v>91</v>
      </c>
      <c r="K23" s="203"/>
      <c r="L23" s="203"/>
      <c r="M23" s="204"/>
    </row>
    <row r="24" spans="2:16" ht="15.75" thickBot="1" x14ac:dyDescent="0.3">
      <c r="B24" s="9"/>
      <c r="C24" s="95"/>
      <c r="J24" s="9" t="s">
        <v>46</v>
      </c>
      <c r="M24" s="178">
        <v>0</v>
      </c>
    </row>
    <row r="25" spans="2:16" ht="15.75" thickBot="1" x14ac:dyDescent="0.3">
      <c r="B25" s="77" t="s">
        <v>51</v>
      </c>
      <c r="C25" s="97">
        <f>SUM(C22:C23)</f>
        <v>62500</v>
      </c>
      <c r="J25" s="9" t="s">
        <v>48</v>
      </c>
      <c r="M25" s="178">
        <v>0</v>
      </c>
      <c r="O25" s="158" t="str">
        <f>IF(M25&lt;=C18,"","FTE Exceeds FERAP FTE")</f>
        <v/>
      </c>
    </row>
    <row r="26" spans="2:16" ht="15.75" thickBot="1" x14ac:dyDescent="0.3">
      <c r="C26" s="75"/>
      <c r="J26" s="6"/>
      <c r="K26" s="6"/>
      <c r="L26" s="6"/>
      <c r="M26" s="5"/>
    </row>
    <row r="27" spans="2:16" x14ac:dyDescent="0.25">
      <c r="B27" s="76" t="s">
        <v>92</v>
      </c>
      <c r="C27" s="78"/>
      <c r="J27" s="205" t="s">
        <v>94</v>
      </c>
      <c r="K27" s="206"/>
      <c r="L27" s="206"/>
      <c r="M27" s="206"/>
      <c r="N27" s="206"/>
      <c r="O27" s="207"/>
    </row>
    <row r="28" spans="2:16" x14ac:dyDescent="0.25">
      <c r="B28" s="9" t="s">
        <v>95</v>
      </c>
      <c r="C28" s="185">
        <v>0</v>
      </c>
      <c r="J28" s="137"/>
      <c r="K28" s="138"/>
      <c r="L28" s="138"/>
      <c r="M28" s="138" t="s">
        <v>96</v>
      </c>
      <c r="N28" s="138"/>
      <c r="O28" s="139" t="s">
        <v>53</v>
      </c>
    </row>
    <row r="29" spans="2:16" ht="15.75" thickBot="1" x14ac:dyDescent="0.3">
      <c r="B29" s="16" t="s">
        <v>97</v>
      </c>
      <c r="C29" s="98">
        <f>C28*C17</f>
        <v>0</v>
      </c>
      <c r="J29" s="130" t="s">
        <v>54</v>
      </c>
      <c r="K29" s="131"/>
      <c r="L29" s="131"/>
      <c r="M29" s="141">
        <f>IF(($M$19-'NIH Salary Cap Updated'!$B$21)&lt;0,0,(($M$19-'NIH Salary Cap Updated'!$B$21)))</f>
        <v>0</v>
      </c>
      <c r="N29" s="131"/>
      <c r="O29" s="132">
        <f>IF(($M$19-'NIH Salary Cap Updated'!$B$21)&lt;0,0,(($M$19-'NIH Salary Cap Updated'!$B$21)*$M$24))</f>
        <v>0</v>
      </c>
    </row>
    <row r="30" spans="2:16" x14ac:dyDescent="0.25">
      <c r="C30" s="99"/>
      <c r="D30" s="26" t="s">
        <v>60</v>
      </c>
      <c r="J30" s="9" t="s">
        <v>56</v>
      </c>
      <c r="M30" s="73"/>
      <c r="O30" s="96">
        <f>IF((($M$19-'NIH Salary Cap Updated'!$B$21)*($M$25-$M$24))&lt;0,0,(($M$19-'NIH Salary Cap Updated'!$B$21)*($M$25-$M$24)))</f>
        <v>0</v>
      </c>
    </row>
    <row r="31" spans="2:16" x14ac:dyDescent="0.25">
      <c r="B31" t="s">
        <v>62</v>
      </c>
      <c r="C31" s="14">
        <f>D31*(C25-C29)</f>
        <v>16875</v>
      </c>
      <c r="D31" s="179">
        <v>0.27</v>
      </c>
      <c r="E31" t="s">
        <v>63</v>
      </c>
      <c r="J31" s="130" t="s">
        <v>57</v>
      </c>
      <c r="K31" s="131"/>
      <c r="L31" s="131"/>
      <c r="M31" s="141">
        <f>($M$19*(1+$M$21))-'NIH Salary Cap Updated'!$B$21</f>
        <v>22000</v>
      </c>
      <c r="N31" s="131"/>
      <c r="O31" s="135">
        <f>((($M$19*(1+$M$21))-('NIH Salary Cap Updated'!$B$21))*$M$25)-O30-O29</f>
        <v>0</v>
      </c>
    </row>
    <row r="32" spans="2:16" ht="15.75" thickBot="1" x14ac:dyDescent="0.3">
      <c r="B32" t="s">
        <v>64</v>
      </c>
      <c r="C32" s="14">
        <f>D32*(C25-C29+C31)</f>
        <v>45243.749999999993</v>
      </c>
      <c r="D32" s="179">
        <v>0.56999999999999995</v>
      </c>
      <c r="E32" t="s">
        <v>65</v>
      </c>
      <c r="J32" s="16" t="s">
        <v>59</v>
      </c>
      <c r="K32" s="133"/>
      <c r="L32" s="133"/>
      <c r="M32" s="133"/>
      <c r="N32" s="133"/>
      <c r="O32" s="142">
        <f>SUM(O29:O31)</f>
        <v>0</v>
      </c>
    </row>
    <row r="33" spans="2:16" x14ac:dyDescent="0.25">
      <c r="C33" s="14"/>
      <c r="J33" s="208" t="s">
        <v>61</v>
      </c>
      <c r="K33" s="209"/>
      <c r="L33" s="209"/>
      <c r="M33" s="209"/>
      <c r="N33" s="209"/>
      <c r="O33" s="144"/>
    </row>
    <row r="34" spans="2:16" ht="15.75" thickBot="1" x14ac:dyDescent="0.3">
      <c r="B34" s="74" t="s">
        <v>67</v>
      </c>
      <c r="C34" s="100">
        <f>(C25-C29)+C31+C32</f>
        <v>124618.75</v>
      </c>
      <c r="D34" t="s">
        <v>68</v>
      </c>
      <c r="J34" s="210"/>
      <c r="K34" s="211"/>
      <c r="L34" s="211"/>
      <c r="M34" s="211"/>
      <c r="N34" s="211"/>
      <c r="O34" s="146">
        <f>O32-O29</f>
        <v>0</v>
      </c>
    </row>
    <row r="35" spans="2:16" ht="16.5" thickTop="1" thickBot="1" x14ac:dyDescent="0.3"/>
    <row r="36" spans="2:16" ht="15.75" thickBot="1" x14ac:dyDescent="0.3">
      <c r="B36" s="79" t="s">
        <v>71</v>
      </c>
      <c r="C36" s="80" t="s">
        <v>72</v>
      </c>
      <c r="D36" s="80" t="s">
        <v>73</v>
      </c>
      <c r="E36" s="200"/>
      <c r="F36" s="200"/>
      <c r="G36" s="200"/>
      <c r="J36" s="212" t="s">
        <v>98</v>
      </c>
      <c r="K36" s="213"/>
      <c r="L36" s="213"/>
      <c r="M36" s="213"/>
      <c r="N36" s="214"/>
      <c r="O36" s="92">
        <f>C45-O34</f>
        <v>50000</v>
      </c>
      <c r="P36" s="147"/>
    </row>
    <row r="37" spans="2:16" ht="15.75" thickBot="1" x14ac:dyDescent="0.3">
      <c r="B37" s="180" t="s">
        <v>99</v>
      </c>
      <c r="C37" s="185">
        <v>0</v>
      </c>
      <c r="D37" s="94">
        <f>C37*$C$25</f>
        <v>0</v>
      </c>
      <c r="E37" s="200"/>
      <c r="F37" s="200"/>
      <c r="G37" s="200"/>
      <c r="J37" s="215" t="s">
        <v>69</v>
      </c>
      <c r="K37" s="216"/>
      <c r="L37" s="216"/>
      <c r="M37" s="216"/>
      <c r="N37" s="217"/>
      <c r="O37" s="165">
        <f>C46-O34</f>
        <v>50000</v>
      </c>
    </row>
    <row r="38" spans="2:16" ht="15.75" thickBot="1" x14ac:dyDescent="0.3">
      <c r="B38" s="180" t="s">
        <v>100</v>
      </c>
      <c r="C38" s="185">
        <v>0</v>
      </c>
      <c r="D38" s="94">
        <f t="shared" ref="D38:D43" si="0">C38*$C$25</f>
        <v>0</v>
      </c>
      <c r="E38" s="200"/>
      <c r="F38" s="200"/>
      <c r="G38" s="200"/>
      <c r="J38" s="171" t="s">
        <v>70</v>
      </c>
      <c r="K38" s="172"/>
      <c r="L38" s="172"/>
      <c r="M38" s="172"/>
      <c r="N38" s="172"/>
      <c r="O38" s="181">
        <v>0</v>
      </c>
    </row>
    <row r="39" spans="2:16" ht="15.75" thickBot="1" x14ac:dyDescent="0.3">
      <c r="B39" s="180" t="s">
        <v>76</v>
      </c>
      <c r="C39" s="185">
        <v>0</v>
      </c>
      <c r="D39" s="94">
        <f t="shared" si="0"/>
        <v>0</v>
      </c>
      <c r="E39" s="200"/>
      <c r="F39" s="200"/>
      <c r="G39" s="200"/>
      <c r="J39" s="167" t="s">
        <v>74</v>
      </c>
      <c r="K39" s="168"/>
      <c r="L39" s="168"/>
      <c r="M39" s="168"/>
      <c r="N39" s="168"/>
      <c r="O39" s="169">
        <f>O37-O38</f>
        <v>50000</v>
      </c>
    </row>
    <row r="40" spans="2:16" ht="15.75" thickBot="1" x14ac:dyDescent="0.3">
      <c r="B40" s="180" t="s">
        <v>77</v>
      </c>
      <c r="C40" s="185">
        <v>0</v>
      </c>
      <c r="D40" s="94">
        <f t="shared" si="0"/>
        <v>0</v>
      </c>
      <c r="E40" s="200"/>
      <c r="F40" s="200"/>
      <c r="G40" s="200"/>
      <c r="K40" s="166"/>
      <c r="L40" s="166"/>
      <c r="M40" s="166"/>
      <c r="N40" s="166"/>
      <c r="O40" s="166"/>
    </row>
    <row r="41" spans="2:16" ht="15.75" thickBot="1" x14ac:dyDescent="0.3">
      <c r="B41" s="180" t="s">
        <v>78</v>
      </c>
      <c r="C41" s="185">
        <v>0</v>
      </c>
      <c r="D41" s="94">
        <f t="shared" si="0"/>
        <v>0</v>
      </c>
      <c r="E41" s="200"/>
      <c r="F41" s="200"/>
      <c r="G41" s="200"/>
      <c r="J41" s="223" t="s">
        <v>75</v>
      </c>
      <c r="K41" s="224"/>
      <c r="L41" s="224"/>
      <c r="M41" s="224"/>
      <c r="N41" s="224"/>
      <c r="O41" s="225"/>
    </row>
    <row r="42" spans="2:16" x14ac:dyDescent="0.25">
      <c r="B42" s="180" t="s">
        <v>79</v>
      </c>
      <c r="C42" s="185">
        <v>0</v>
      </c>
      <c r="D42" s="94">
        <f t="shared" si="0"/>
        <v>0</v>
      </c>
      <c r="E42" s="200"/>
      <c r="F42" s="200"/>
      <c r="G42" s="200"/>
      <c r="J42" s="226" t="s">
        <v>141</v>
      </c>
      <c r="K42" s="227"/>
      <c r="L42" s="227"/>
      <c r="M42" s="227"/>
      <c r="N42" s="227"/>
      <c r="O42" s="228"/>
    </row>
    <row r="43" spans="2:16" x14ac:dyDescent="0.25">
      <c r="B43" s="180" t="s">
        <v>80</v>
      </c>
      <c r="C43" s="185">
        <v>0</v>
      </c>
      <c r="D43" s="94">
        <f t="shared" si="0"/>
        <v>0</v>
      </c>
      <c r="J43" s="226"/>
      <c r="K43" s="227"/>
      <c r="L43" s="227"/>
      <c r="M43" s="227"/>
      <c r="N43" s="227"/>
      <c r="O43" s="228"/>
    </row>
    <row r="44" spans="2:16" ht="15.75" thickBot="1" x14ac:dyDescent="0.3">
      <c r="J44" s="226"/>
      <c r="K44" s="227"/>
      <c r="L44" s="227"/>
      <c r="M44" s="227"/>
      <c r="N44" s="227"/>
      <c r="O44" s="228"/>
    </row>
    <row r="45" spans="2:16" ht="15.75" thickBot="1" x14ac:dyDescent="0.3">
      <c r="B45" s="91" t="s">
        <v>101</v>
      </c>
      <c r="C45" s="92">
        <f>C22-C29</f>
        <v>50000</v>
      </c>
      <c r="J45" s="226"/>
      <c r="K45" s="227"/>
      <c r="L45" s="227"/>
      <c r="M45" s="227"/>
      <c r="N45" s="227"/>
      <c r="O45" s="228"/>
    </row>
    <row r="46" spans="2:16" ht="15.75" thickBot="1" x14ac:dyDescent="0.3">
      <c r="B46" s="164" t="s">
        <v>82</v>
      </c>
      <c r="C46" s="165">
        <f>C22</f>
        <v>50000</v>
      </c>
      <c r="J46" s="229"/>
      <c r="K46" s="230"/>
      <c r="L46" s="230"/>
      <c r="M46" s="230"/>
      <c r="N46" s="230"/>
      <c r="O46" s="231"/>
    </row>
    <row r="47" spans="2:16" x14ac:dyDescent="0.25">
      <c r="J47" s="170"/>
      <c r="K47" s="170"/>
      <c r="L47" s="170"/>
      <c r="M47" s="170"/>
      <c r="N47" s="170"/>
      <c r="O47" s="170"/>
    </row>
    <row r="48" spans="2:16" ht="15" customHeight="1" x14ac:dyDescent="0.25">
      <c r="B48" s="27" t="s">
        <v>83</v>
      </c>
      <c r="J48" s="222" t="s">
        <v>151</v>
      </c>
      <c r="K48" s="222"/>
      <c r="L48" s="222"/>
      <c r="M48" s="222"/>
      <c r="N48" s="222"/>
      <c r="O48" s="222"/>
      <c r="P48" s="222"/>
    </row>
    <row r="49" spans="2:16" x14ac:dyDescent="0.25">
      <c r="J49" s="222"/>
      <c r="K49" s="222"/>
      <c r="L49" s="222"/>
      <c r="M49" s="222"/>
      <c r="N49" s="222"/>
      <c r="O49" s="222"/>
      <c r="P49" s="222"/>
    </row>
    <row r="50" spans="2:16" x14ac:dyDescent="0.25">
      <c r="B50" s="188" t="s">
        <v>152</v>
      </c>
    </row>
    <row r="51" spans="2:16" x14ac:dyDescent="0.25">
      <c r="J51" s="166"/>
    </row>
    <row r="52" spans="2:16" x14ac:dyDescent="0.25">
      <c r="J52" s="166"/>
    </row>
  </sheetData>
  <sheetProtection algorithmName="SHA-512" hashValue="CQOwROT6BugHFWbfscWwDtbjlApC25k9mabVZxOQ5QAqY19nm6sWXcBQIAV9tcfTl7Ds3LZt3m+d9ObzmXm+lQ==" saltValue="ExZbKWQfywBlNr5NnxM2fg==" spinCount="100000" sheet="1"/>
  <protectedRanges>
    <protectedRange sqref="A4:XFD7" name="Parameters"/>
    <protectedRange sqref="D6 J6 O6 C28 D31:D32 B37:C43" name="Range2"/>
    <protectedRange sqref="M24:M25" name="Range5_1"/>
  </protectedRanges>
  <mergeCells count="21">
    <mergeCell ref="J48:P49"/>
    <mergeCell ref="J41:O41"/>
    <mergeCell ref="J42:O46"/>
    <mergeCell ref="E38:G38"/>
    <mergeCell ref="E39:G39"/>
    <mergeCell ref="E40:G40"/>
    <mergeCell ref="E41:G41"/>
    <mergeCell ref="E42:G42"/>
    <mergeCell ref="B1:P1"/>
    <mergeCell ref="C9:D9"/>
    <mergeCell ref="F9:H9"/>
    <mergeCell ref="J9:M9"/>
    <mergeCell ref="E36:G36"/>
    <mergeCell ref="B2:P2"/>
    <mergeCell ref="E37:G37"/>
    <mergeCell ref="J17:M17"/>
    <mergeCell ref="J23:M23"/>
    <mergeCell ref="J27:O27"/>
    <mergeCell ref="J33:N34"/>
    <mergeCell ref="J36:N36"/>
    <mergeCell ref="J37:N37"/>
  </mergeCells>
  <printOptions horizontalCentered="1"/>
  <pageMargins left="0.45" right="0.45" top="0.5" bottom="0.5" header="0.3" footer="0.3"/>
  <pageSetup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F2138B-0C84-4C64-8277-9AE2ED8BE7C1}">
          <x14:formula1>
            <xm:f>Lists!$C$2:$C$12</xm:f>
          </x14:formula1>
          <xm:sqref>O6</xm:sqref>
        </x14:dataValidation>
        <x14:dataValidation type="list" allowBlank="1" showInputMessage="1" showErrorMessage="1" xr:uid="{B946B162-D021-4858-BEE0-8F53923D3845}">
          <x14:formula1>
            <xm:f>Lists!$A$2:$A$5</xm:f>
          </x14:formula1>
          <xm:sqref>J6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0007-BEAF-469D-B77E-997A48C575BE}">
  <sheetPr>
    <tabColor theme="8" tint="0.59999389629810485"/>
  </sheetPr>
  <dimension ref="B1:W24"/>
  <sheetViews>
    <sheetView showGridLines="0" zoomScale="130" zoomScaleNormal="130" workbookViewId="0">
      <selection activeCell="E4" sqref="E4"/>
    </sheetView>
  </sheetViews>
  <sheetFormatPr defaultRowHeight="15" x14ac:dyDescent="0.25"/>
  <cols>
    <col min="1" max="1" width="4.140625" customWidth="1"/>
    <col min="2" max="4" width="14.140625" customWidth="1"/>
    <col min="5" max="5" width="17.7109375" customWidth="1"/>
    <col min="6" max="6" width="19.28515625" customWidth="1"/>
    <col min="7" max="7" width="3.140625" customWidth="1"/>
    <col min="8" max="8" width="16" customWidth="1"/>
    <col min="9" max="9" width="14.140625" customWidth="1"/>
    <col min="12" max="12" width="5.85546875" customWidth="1"/>
    <col min="13" max="13" width="15.85546875" customWidth="1"/>
    <col min="14" max="14" width="5.85546875" hidden="1" customWidth="1"/>
    <col min="15" max="15" width="14.28515625" hidden="1" customWidth="1"/>
    <col min="16" max="16" width="0" hidden="1" customWidth="1"/>
    <col min="17" max="17" width="70.140625" hidden="1" customWidth="1"/>
    <col min="18" max="18" width="12.7109375" hidden="1" customWidth="1"/>
    <col min="19" max="19" width="12.85546875" hidden="1" customWidth="1"/>
    <col min="20" max="20" width="12.28515625" hidden="1" customWidth="1"/>
    <col min="21" max="21" width="19.28515625" hidden="1" customWidth="1"/>
    <col min="22" max="22" width="16.7109375" hidden="1" customWidth="1"/>
    <col min="23" max="23" width="7.5703125" hidden="1" customWidth="1"/>
    <col min="24" max="29" width="0" hidden="1" customWidth="1"/>
  </cols>
  <sheetData>
    <row r="1" spans="2:23" ht="30.75" thickBot="1" x14ac:dyDescent="0.3">
      <c r="B1" s="241" t="s">
        <v>102</v>
      </c>
      <c r="C1" s="241"/>
      <c r="D1" s="241"/>
      <c r="E1" s="241"/>
      <c r="F1" s="241"/>
      <c r="G1" s="241"/>
      <c r="H1" s="241"/>
      <c r="N1" s="3"/>
      <c r="O1" s="101" t="s">
        <v>103</v>
      </c>
      <c r="P1" s="6"/>
      <c r="Q1" s="149" t="s">
        <v>104</v>
      </c>
      <c r="R1" s="150" t="s">
        <v>105</v>
      </c>
      <c r="S1" s="150" t="s">
        <v>106</v>
      </c>
      <c r="T1" s="151" t="s">
        <v>107</v>
      </c>
      <c r="U1" s="152" t="s">
        <v>108</v>
      </c>
      <c r="V1" s="152" t="s">
        <v>109</v>
      </c>
      <c r="W1" s="40"/>
    </row>
    <row r="2" spans="2:23" ht="6.75" customHeight="1" thickBot="1" x14ac:dyDescent="0.3">
      <c r="N2" s="9"/>
      <c r="O2" s="129"/>
      <c r="Q2" s="154"/>
      <c r="R2" s="155"/>
      <c r="S2" s="155"/>
      <c r="T2" s="156"/>
      <c r="U2" s="112"/>
      <c r="V2" s="112"/>
      <c r="W2" s="10"/>
    </row>
    <row r="3" spans="2:23" ht="16.5" thickBot="1" x14ac:dyDescent="0.3">
      <c r="B3" s="157" t="s">
        <v>110</v>
      </c>
      <c r="E3" s="14"/>
      <c r="N3" s="9"/>
      <c r="O3" s="129" t="s">
        <v>111</v>
      </c>
      <c r="Q3" s="105" t="s">
        <v>112</v>
      </c>
      <c r="R3" s="107">
        <v>179700</v>
      </c>
      <c r="S3" s="107">
        <v>134775</v>
      </c>
      <c r="T3" s="108">
        <v>14975</v>
      </c>
      <c r="W3" s="10"/>
    </row>
    <row r="4" spans="2:23" ht="15.75" thickBot="1" x14ac:dyDescent="0.3">
      <c r="B4" t="s">
        <v>113</v>
      </c>
      <c r="E4" s="186" t="s">
        <v>111</v>
      </c>
      <c r="F4" s="148" t="s">
        <v>114</v>
      </c>
      <c r="G4" s="148"/>
      <c r="N4" s="9"/>
      <c r="O4" s="129" t="s">
        <v>115</v>
      </c>
      <c r="Q4" s="109">
        <v>2014</v>
      </c>
      <c r="R4" s="110">
        <v>181500</v>
      </c>
      <c r="S4" s="110">
        <v>136126</v>
      </c>
      <c r="T4" s="111">
        <v>15125</v>
      </c>
      <c r="U4" s="106">
        <f>R4-R3</f>
        <v>1800</v>
      </c>
      <c r="V4" s="118">
        <f>R4/R3-1</f>
        <v>1.001669449081799E-2</v>
      </c>
      <c r="W4" s="10"/>
    </row>
    <row r="5" spans="2:23" ht="15.75" thickBot="1" x14ac:dyDescent="0.3">
      <c r="B5" t="s">
        <v>116</v>
      </c>
      <c r="E5" s="174">
        <v>180000</v>
      </c>
      <c r="F5" s="148" t="s">
        <v>117</v>
      </c>
      <c r="G5" s="148"/>
      <c r="N5" s="9"/>
      <c r="Q5" s="105">
        <v>2015</v>
      </c>
      <c r="R5" s="107">
        <v>183300</v>
      </c>
      <c r="S5" s="107">
        <v>137475</v>
      </c>
      <c r="T5" s="108">
        <v>15275</v>
      </c>
      <c r="U5" s="106">
        <f>R5-R4</f>
        <v>1800</v>
      </c>
      <c r="V5" s="118">
        <f t="shared" ref="V5:V14" si="0">R5/R4-1</f>
        <v>9.917355371900749E-3</v>
      </c>
      <c r="W5" s="10"/>
    </row>
    <row r="6" spans="2:23" ht="15.75" thickBot="1" x14ac:dyDescent="0.3">
      <c r="B6" t="s">
        <v>42</v>
      </c>
      <c r="E6" s="176">
        <v>0.25</v>
      </c>
      <c r="F6" s="148" t="s">
        <v>118</v>
      </c>
      <c r="G6" s="148"/>
      <c r="H6" s="27"/>
      <c r="N6" s="9"/>
      <c r="Q6" s="109">
        <v>2016</v>
      </c>
      <c r="R6" s="110">
        <v>185100</v>
      </c>
      <c r="S6" s="110">
        <v>138825</v>
      </c>
      <c r="T6" s="111">
        <v>15425</v>
      </c>
      <c r="U6" s="106">
        <f>R6-R5</f>
        <v>1800</v>
      </c>
      <c r="V6" s="118">
        <f t="shared" si="0"/>
        <v>9.8199672667758087E-3</v>
      </c>
      <c r="W6" s="10"/>
    </row>
    <row r="7" spans="2:23" ht="15.75" thickBot="1" x14ac:dyDescent="0.3">
      <c r="B7" t="s">
        <v>43</v>
      </c>
      <c r="E7" s="175">
        <v>0.25</v>
      </c>
      <c r="F7" s="148" t="s">
        <v>145</v>
      </c>
      <c r="G7" s="148"/>
      <c r="H7" s="136"/>
      <c r="N7" s="9"/>
      <c r="Q7" s="105">
        <v>2017</v>
      </c>
      <c r="R7" s="107">
        <v>187000</v>
      </c>
      <c r="S7" s="107">
        <v>140250</v>
      </c>
      <c r="T7" s="108">
        <v>15583</v>
      </c>
      <c r="U7" s="106">
        <f>R7-R6</f>
        <v>1900</v>
      </c>
      <c r="V7" s="118">
        <f t="shared" si="0"/>
        <v>1.0264721772015095E-2</v>
      </c>
      <c r="W7" s="10"/>
    </row>
    <row r="8" spans="2:23" ht="15.75" thickBot="1" x14ac:dyDescent="0.3">
      <c r="F8" s="148"/>
      <c r="G8" s="148"/>
      <c r="H8" s="136"/>
      <c r="N8" s="9"/>
      <c r="Q8" s="105"/>
      <c r="R8" s="107"/>
      <c r="S8" s="107"/>
      <c r="T8" s="108"/>
      <c r="U8" s="106"/>
      <c r="V8" s="118"/>
      <c r="W8" s="10"/>
    </row>
    <row r="9" spans="2:23" ht="15.75" thickBot="1" x14ac:dyDescent="0.3">
      <c r="N9" s="9"/>
      <c r="Q9" s="109">
        <v>2018</v>
      </c>
      <c r="R9" s="110">
        <v>189600</v>
      </c>
      <c r="S9" s="110">
        <v>142200</v>
      </c>
      <c r="T9" s="111">
        <v>15800</v>
      </c>
      <c r="U9" s="106">
        <f>R9-R7</f>
        <v>2600</v>
      </c>
      <c r="V9" s="118">
        <f>R9/R7-1</f>
        <v>1.3903743315508033E-2</v>
      </c>
      <c r="W9" s="10"/>
    </row>
    <row r="10" spans="2:23" ht="15.75" thickBot="1" x14ac:dyDescent="0.3">
      <c r="B10" s="242" t="s">
        <v>119</v>
      </c>
      <c r="C10" s="243"/>
      <c r="D10" s="243"/>
      <c r="E10" s="244"/>
      <c r="F10" s="148" t="s">
        <v>120</v>
      </c>
      <c r="N10" s="9"/>
      <c r="Q10" s="105">
        <v>2019</v>
      </c>
      <c r="R10" s="107">
        <v>192300</v>
      </c>
      <c r="S10" s="107">
        <v>144225</v>
      </c>
      <c r="T10" s="107">
        <v>16025</v>
      </c>
      <c r="U10" s="106">
        <f>R10-R9</f>
        <v>2700</v>
      </c>
      <c r="V10" s="118">
        <f t="shared" si="0"/>
        <v>1.4240506329114E-2</v>
      </c>
      <c r="W10" s="10"/>
    </row>
    <row r="11" spans="2:23" ht="15.75" thickBot="1" x14ac:dyDescent="0.3">
      <c r="B11" s="9" t="s">
        <v>46</v>
      </c>
      <c r="E11" s="178">
        <v>0</v>
      </c>
      <c r="N11" s="9"/>
      <c r="Q11" s="109">
        <v>2020</v>
      </c>
      <c r="R11" s="110">
        <v>197300</v>
      </c>
      <c r="S11" s="110">
        <v>147975</v>
      </c>
      <c r="T11" s="110">
        <v>16442</v>
      </c>
      <c r="U11" s="121">
        <f>R11-R10</f>
        <v>5000</v>
      </c>
      <c r="V11" s="115">
        <f t="shared" si="0"/>
        <v>2.6001040041601753E-2</v>
      </c>
      <c r="W11" s="10"/>
    </row>
    <row r="12" spans="2:23" ht="15.75" thickBot="1" x14ac:dyDescent="0.3">
      <c r="B12" s="9" t="s">
        <v>48</v>
      </c>
      <c r="E12" s="178">
        <v>0</v>
      </c>
      <c r="F12" s="245" t="str">
        <f>IF(E12&lt;=$E$6,"","FTE Exceeds FERAP FTE")</f>
        <v/>
      </c>
      <c r="G12" s="246"/>
      <c r="H12" s="246"/>
      <c r="N12" s="9"/>
      <c r="Q12" s="105">
        <v>2021</v>
      </c>
      <c r="R12" s="107">
        <v>199300</v>
      </c>
      <c r="S12" s="107">
        <v>149475</v>
      </c>
      <c r="T12" s="107">
        <v>16608</v>
      </c>
      <c r="U12" s="122">
        <f>R12-R11</f>
        <v>2000</v>
      </c>
      <c r="V12" s="116">
        <f t="shared" si="0"/>
        <v>1.0136847440445962E-2</v>
      </c>
      <c r="W12" s="10"/>
    </row>
    <row r="13" spans="2:23" ht="15.75" thickBot="1" x14ac:dyDescent="0.3">
      <c r="B13" s="6"/>
      <c r="C13" s="6"/>
      <c r="D13" s="6"/>
      <c r="E13" s="5"/>
      <c r="N13" s="9"/>
      <c r="Q13" s="109">
        <v>2022</v>
      </c>
      <c r="R13" s="110">
        <v>203700</v>
      </c>
      <c r="S13" s="110">
        <v>152775</v>
      </c>
      <c r="T13" s="110">
        <v>16975</v>
      </c>
      <c r="U13" s="122">
        <f>R13-R12</f>
        <v>4400</v>
      </c>
      <c r="V13" s="116">
        <f t="shared" si="0"/>
        <v>2.2077270446563046E-2</v>
      </c>
      <c r="W13" s="10"/>
    </row>
    <row r="14" spans="2:23" ht="15.75" thickBot="1" x14ac:dyDescent="0.3">
      <c r="B14" s="205" t="s">
        <v>121</v>
      </c>
      <c r="C14" s="206"/>
      <c r="D14" s="206"/>
      <c r="E14" s="206"/>
      <c r="F14" s="206"/>
      <c r="G14" s="206"/>
      <c r="H14" s="207"/>
      <c r="N14" s="9"/>
      <c r="Q14" s="105">
        <v>2023</v>
      </c>
      <c r="R14" s="107">
        <v>212100</v>
      </c>
      <c r="S14" s="107">
        <v>159075</v>
      </c>
      <c r="T14" s="107">
        <v>17675</v>
      </c>
      <c r="U14" s="123">
        <f>R14-R13</f>
        <v>8400</v>
      </c>
      <c r="V14" s="117">
        <f t="shared" si="0"/>
        <v>4.1237113402061931E-2</v>
      </c>
      <c r="W14" s="10"/>
    </row>
    <row r="15" spans="2:23" ht="30.75" thickBot="1" x14ac:dyDescent="0.3">
      <c r="B15" s="137"/>
      <c r="C15" s="138"/>
      <c r="D15" s="138"/>
      <c r="F15" s="140" t="s">
        <v>122</v>
      </c>
      <c r="G15" s="140"/>
      <c r="H15" s="139" t="s">
        <v>53</v>
      </c>
      <c r="N15" s="9"/>
      <c r="Q15" s="159" t="s">
        <v>123</v>
      </c>
      <c r="R15" s="160">
        <v>221900</v>
      </c>
      <c r="S15" s="160">
        <f>T15*9</f>
        <v>166425</v>
      </c>
      <c r="T15" s="160">
        <f>R15/12</f>
        <v>18491.666666666668</v>
      </c>
      <c r="U15" s="239" t="s">
        <v>124</v>
      </c>
      <c r="V15" s="240"/>
      <c r="W15" s="161" t="s">
        <v>125</v>
      </c>
    </row>
    <row r="16" spans="2:23" ht="15.75" thickBot="1" x14ac:dyDescent="0.3">
      <c r="B16" s="130" t="s">
        <v>54</v>
      </c>
      <c r="C16" s="131"/>
      <c r="D16" s="131"/>
      <c r="E16" s="131"/>
      <c r="F16" s="2">
        <f>IF(($E$4="AY"),IF($E$5-'NIH Salary Cap Updated'!$C$21&lt;0,0,($E$5-'NIH Salary Cap Updated'!$C$21)),IF($E$5-'NIH Salary Cap Updated'!$B$21&lt;0,0,($E$5-'NIH Salary Cap Updated'!$B$21)))</f>
        <v>9000</v>
      </c>
      <c r="G16" s="141"/>
      <c r="H16" s="173">
        <f>IF(($E$4="AY"),IF(($E$5-'NIH Salary Cap Updated'!$C$21&lt;0),0,($E$5-'NIH Salary Cap Updated'!$C$21)*$E$11),IF($E$5-'NIH Salary Cap Updated'!$B$21&lt;0,0,(($E$5-'NIH Salary Cap Updated'!$B$21)*$E$11)))</f>
        <v>0</v>
      </c>
      <c r="N16" s="9"/>
      <c r="Q16" s="105"/>
      <c r="R16" s="107"/>
      <c r="S16" s="107"/>
      <c r="T16" s="107"/>
      <c r="U16" s="124">
        <f>AVERAGE(U11:U14)</f>
        <v>4950</v>
      </c>
      <c r="V16" s="120">
        <f>AVERAGE(V11:V14)</f>
        <v>2.4863067832668173E-2</v>
      </c>
      <c r="W16" s="162">
        <f>R15-R14</f>
        <v>9800</v>
      </c>
    </row>
    <row r="17" spans="2:23" ht="15.75" thickBot="1" x14ac:dyDescent="0.3">
      <c r="B17" s="9" t="s">
        <v>56</v>
      </c>
      <c r="F17" s="14"/>
      <c r="G17" s="73"/>
      <c r="H17" s="96">
        <f>IF(($E$4="AY"),IF(($E$5-'NIH Salary Cap Updated'!$C$21&lt;0),0,($E$5-'NIH Salary Cap Updated'!$C$21)*(E12-$E$11)),IF($E$5-'NIH Salary Cap Updated'!$B$21&lt;0,0,(($E$5-'NIH Salary Cap Updated'!$B$21)*($E$12-$E$11))))</f>
        <v>0</v>
      </c>
      <c r="N17" s="9"/>
      <c r="U17" s="125">
        <f>ROUND(T14*V16+T14,0)</f>
        <v>18114</v>
      </c>
      <c r="V17" s="126" t="s">
        <v>126</v>
      </c>
      <c r="W17" s="163">
        <f>T15/T14-1</f>
        <v>4.620462046204632E-2</v>
      </c>
    </row>
    <row r="18" spans="2:23" x14ac:dyDescent="0.25">
      <c r="B18" s="130" t="s">
        <v>127</v>
      </c>
      <c r="C18" s="131"/>
      <c r="D18" s="131"/>
      <c r="E18" s="131"/>
      <c r="F18" s="2">
        <f>IF(($E$4="AY"),IF(($E$5*(1+$E$7))-'NIH Salary Cap Updated'!$C$21&lt;0,0,(($E$5*(1+$E$7))-'NIH Salary Cap Updated'!$C$21)),IF(($E$5*(1+$E$7))-'NIH Salary Cap Updated'!$B$21&lt;0,0,($E$5*(1+$E$7))-'NIH Salary Cap Updated'!$B$21))</f>
        <v>54000</v>
      </c>
      <c r="G18" s="141"/>
      <c r="H18" s="135">
        <f>IF(($E$4="AY"),IF(($E$5*(1+$E$7))-'NIH Salary Cap Updated'!$C$21&lt;0,0,(((($E$5*(1+$E$7))-'NIH Salary Cap Updated'!$C$21)*$E$12)-$H$17-$H$16)),IF($E$5*(1+$E$7)-'NIH Salary Cap Updated'!$B$21&lt;0,0,(((($E$5*(1+$E$7))-'NIH Salary Cap Updated'!$B$21)*$E$12)-$H$17-$H$16)))</f>
        <v>0</v>
      </c>
      <c r="N18" s="9"/>
      <c r="Q18" t="s">
        <v>128</v>
      </c>
      <c r="W18" s="10"/>
    </row>
    <row r="19" spans="2:23" ht="15.75" thickBot="1" x14ac:dyDescent="0.3">
      <c r="B19" s="16" t="s">
        <v>59</v>
      </c>
      <c r="C19" s="133"/>
      <c r="D19" s="133"/>
      <c r="E19" s="133"/>
      <c r="F19" s="133"/>
      <c r="G19" s="133"/>
      <c r="H19" s="142">
        <f>SUM(H16:H18)</f>
        <v>0</v>
      </c>
      <c r="N19" s="9"/>
      <c r="W19" s="10"/>
    </row>
    <row r="20" spans="2:23" ht="15.75" thickBot="1" x14ac:dyDescent="0.3">
      <c r="B20" s="208" t="s">
        <v>61</v>
      </c>
      <c r="C20" s="209"/>
      <c r="D20" s="209"/>
      <c r="E20" s="209"/>
      <c r="F20" s="209"/>
      <c r="G20" s="143"/>
      <c r="H20" s="144"/>
      <c r="N20" s="9"/>
      <c r="Q20" s="27" t="s">
        <v>129</v>
      </c>
      <c r="R20" s="119">
        <f>(0.5*R14)+(0.5*R15)</f>
        <v>217000</v>
      </c>
      <c r="S20" s="119">
        <f>(0.5*S14)+(0.5*S15)</f>
        <v>162750</v>
      </c>
      <c r="T20" s="119">
        <f>(0.5*T14)+(0.5*T15)</f>
        <v>18083.333333333336</v>
      </c>
      <c r="W20" s="10"/>
    </row>
    <row r="21" spans="2:23" ht="15.75" thickBot="1" x14ac:dyDescent="0.3">
      <c r="B21" s="210"/>
      <c r="C21" s="211"/>
      <c r="D21" s="211"/>
      <c r="E21" s="211"/>
      <c r="F21" s="211"/>
      <c r="G21" s="145"/>
      <c r="H21" s="146">
        <f>H19-H16</f>
        <v>0</v>
      </c>
      <c r="N21" s="9"/>
      <c r="W21" s="10"/>
    </row>
    <row r="22" spans="2:23" x14ac:dyDescent="0.25">
      <c r="N22" s="9"/>
      <c r="W22" s="10"/>
    </row>
    <row r="23" spans="2:23" x14ac:dyDescent="0.25">
      <c r="B23" s="222" t="s">
        <v>151</v>
      </c>
      <c r="C23" s="222"/>
      <c r="D23" s="222"/>
      <c r="E23" s="222"/>
      <c r="F23" s="222"/>
      <c r="G23" s="222"/>
      <c r="H23" s="222"/>
      <c r="N23" s="9"/>
      <c r="W23" s="10"/>
    </row>
    <row r="24" spans="2:23" ht="15.75" thickBot="1" x14ac:dyDescent="0.3">
      <c r="B24" s="222"/>
      <c r="C24" s="222"/>
      <c r="D24" s="222"/>
      <c r="E24" s="222"/>
      <c r="F24" s="222"/>
      <c r="G24" s="222"/>
      <c r="H24" s="222"/>
      <c r="N24" s="153"/>
      <c r="O24" s="17"/>
      <c r="P24" s="17"/>
      <c r="Q24" s="17"/>
      <c r="R24" s="17"/>
      <c r="S24" s="17"/>
      <c r="T24" s="17"/>
      <c r="U24" s="17"/>
      <c r="V24" s="17"/>
      <c r="W24" s="18"/>
    </row>
  </sheetData>
  <sheetProtection algorithmName="SHA-512" hashValue="IE+rRi8Ms0972VJYjyeVXxnLxfwmGHUKeV2K72Eu1PWfn4TZcQRjZ1YKfZb3vQOdGbHQaF8fBixyCuO9B5Dytw==" saltValue="chQJPHj0y8WJrGoCu8KvtQ==" spinCount="100000" sheet="1"/>
  <protectedRanges>
    <protectedRange sqref="E11:E12" name="Range5"/>
    <protectedRange sqref="E7" name="Parameters"/>
    <protectedRange sqref="E7" name="Range2"/>
    <protectedRange sqref="E6" name="Parameters_1"/>
    <protectedRange sqref="E6" name="Range5_1"/>
    <protectedRange sqref="F6:H6 F7" name="Parameters_2"/>
  </protectedRanges>
  <mergeCells count="7">
    <mergeCell ref="B23:H24"/>
    <mergeCell ref="U15:V15"/>
    <mergeCell ref="B1:H1"/>
    <mergeCell ref="B10:E10"/>
    <mergeCell ref="B14:H14"/>
    <mergeCell ref="B20:F21"/>
    <mergeCell ref="F12:H12"/>
  </mergeCell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CDD925-0B10-4DEC-82E0-9D684E24A781}">
          <x14:formula1>
            <xm:f>Lists!$A$2:$A$5</xm:f>
          </x14:formula1>
          <xm:sqref>E7</xm:sqref>
        </x14:dataValidation>
        <x14:dataValidation type="list" allowBlank="1" showInputMessage="1" showErrorMessage="1" xr:uid="{108C9119-682C-48C1-B974-EEBDCAFFCE7F}">
          <x14:formula1>
            <xm:f>Lists!$C$2:$C$12</xm:f>
          </x14:formula1>
          <xm:sqref>E6</xm:sqref>
        </x14:dataValidation>
        <x14:dataValidation type="list" allowBlank="1" showInputMessage="1" showErrorMessage="1" xr:uid="{A8DBB76C-BA3C-4B30-A426-68D8B20D6832}">
          <x14:formula1>
            <xm:f>Lists!$E$1:$E$3</xm:f>
          </x14:formula1>
          <xm:sqref>E4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3BC7-DADE-44DA-975D-7EB585C737A5}">
  <sheetPr>
    <tabColor theme="9" tint="0.59999389629810485"/>
  </sheetPr>
  <dimension ref="A1:H25"/>
  <sheetViews>
    <sheetView zoomScale="115" zoomScaleNormal="115" workbookViewId="0">
      <selection activeCell="E21" sqref="E21"/>
    </sheetView>
  </sheetViews>
  <sheetFormatPr defaultRowHeight="15" x14ac:dyDescent="0.25"/>
  <cols>
    <col min="1" max="4" width="22.7109375" customWidth="1"/>
    <col min="5" max="5" width="16.28515625" customWidth="1"/>
    <col min="6" max="6" width="19.28515625" customWidth="1"/>
    <col min="7" max="7" width="4.28515625" customWidth="1"/>
  </cols>
  <sheetData>
    <row r="1" spans="1:8" ht="30.75" thickBot="1" x14ac:dyDescent="0.3">
      <c r="A1" s="102" t="s">
        <v>104</v>
      </c>
      <c r="B1" s="103" t="s">
        <v>105</v>
      </c>
      <c r="C1" s="103" t="s">
        <v>106</v>
      </c>
      <c r="D1" s="104" t="s">
        <v>107</v>
      </c>
      <c r="E1" s="112" t="s">
        <v>108</v>
      </c>
      <c r="F1" s="112" t="s">
        <v>109</v>
      </c>
    </row>
    <row r="2" spans="1:8" ht="15.75" thickBot="1" x14ac:dyDescent="0.3">
      <c r="A2" s="105" t="s">
        <v>112</v>
      </c>
      <c r="B2" s="107">
        <v>179700</v>
      </c>
      <c r="C2" s="107">
        <v>134775</v>
      </c>
      <c r="D2" s="108">
        <v>14975</v>
      </c>
    </row>
    <row r="3" spans="1:8" ht="15.75" thickBot="1" x14ac:dyDescent="0.3">
      <c r="A3" s="109">
        <v>2014</v>
      </c>
      <c r="B3" s="110">
        <v>181500</v>
      </c>
      <c r="C3" s="110">
        <v>136126</v>
      </c>
      <c r="D3" s="111">
        <v>15125</v>
      </c>
      <c r="E3" s="106">
        <f t="shared" ref="E3:E11" si="0">B3-B2</f>
        <v>1800</v>
      </c>
      <c r="F3" s="113">
        <f>B3/B2-1</f>
        <v>1.001669449081799E-2</v>
      </c>
      <c r="G3" s="114"/>
    </row>
    <row r="4" spans="1:8" ht="15.75" thickBot="1" x14ac:dyDescent="0.3">
      <c r="A4" s="105">
        <v>2015</v>
      </c>
      <c r="B4" s="107">
        <v>183300</v>
      </c>
      <c r="C4" s="107">
        <v>137475</v>
      </c>
      <c r="D4" s="108">
        <v>15275</v>
      </c>
      <c r="E4" s="106">
        <f t="shared" si="0"/>
        <v>1800</v>
      </c>
      <c r="F4" s="113">
        <f t="shared" ref="F4:F10" si="1">B4/B3-1</f>
        <v>9.917355371900749E-3</v>
      </c>
      <c r="G4" s="114"/>
    </row>
    <row r="5" spans="1:8" ht="15.75" thickBot="1" x14ac:dyDescent="0.3">
      <c r="A5" s="109">
        <v>2016</v>
      </c>
      <c r="B5" s="110">
        <v>185100</v>
      </c>
      <c r="C5" s="110">
        <v>138825</v>
      </c>
      <c r="D5" s="111">
        <v>15425</v>
      </c>
      <c r="E5" s="106">
        <f t="shared" si="0"/>
        <v>1800</v>
      </c>
      <c r="F5" s="113">
        <f t="shared" si="1"/>
        <v>9.8199672667758087E-3</v>
      </c>
      <c r="G5" s="114"/>
    </row>
    <row r="6" spans="1:8" ht="15.75" thickBot="1" x14ac:dyDescent="0.3">
      <c r="A6" s="105">
        <v>2017</v>
      </c>
      <c r="B6" s="107">
        <v>187000</v>
      </c>
      <c r="C6" s="107">
        <v>140250</v>
      </c>
      <c r="D6" s="108">
        <v>15583</v>
      </c>
      <c r="E6" s="106">
        <f t="shared" si="0"/>
        <v>1900</v>
      </c>
      <c r="F6" s="113">
        <f t="shared" si="1"/>
        <v>1.0264721772015095E-2</v>
      </c>
      <c r="G6" s="114"/>
    </row>
    <row r="7" spans="1:8" ht="15.75" thickBot="1" x14ac:dyDescent="0.3">
      <c r="A7" s="109">
        <v>2018</v>
      </c>
      <c r="B7" s="110">
        <v>189600</v>
      </c>
      <c r="C7" s="110">
        <v>142200</v>
      </c>
      <c r="D7" s="111">
        <v>15800</v>
      </c>
      <c r="E7" s="106">
        <f t="shared" si="0"/>
        <v>2600</v>
      </c>
      <c r="F7" s="113">
        <f t="shared" si="1"/>
        <v>1.3903743315508033E-2</v>
      </c>
      <c r="G7" s="114"/>
    </row>
    <row r="8" spans="1:8" ht="15.75" thickBot="1" x14ac:dyDescent="0.3">
      <c r="A8" s="105">
        <v>2019</v>
      </c>
      <c r="B8" s="107">
        <v>192300</v>
      </c>
      <c r="C8" s="107">
        <v>144225</v>
      </c>
      <c r="D8" s="187">
        <v>16025</v>
      </c>
      <c r="E8" s="106">
        <f t="shared" si="0"/>
        <v>2700</v>
      </c>
      <c r="F8" s="118">
        <f t="shared" si="1"/>
        <v>1.4240506329114E-2</v>
      </c>
      <c r="G8" s="114"/>
    </row>
    <row r="9" spans="1:8" ht="15.75" thickBot="1" x14ac:dyDescent="0.3">
      <c r="A9" s="109">
        <v>2020</v>
      </c>
      <c r="B9" s="110">
        <v>197300</v>
      </c>
      <c r="C9" s="110">
        <v>147975</v>
      </c>
      <c r="D9" s="192">
        <v>16442</v>
      </c>
      <c r="E9" s="106">
        <f t="shared" si="0"/>
        <v>5000</v>
      </c>
      <c r="F9" s="118">
        <f>B9/B8-1</f>
        <v>2.6001040041601753E-2</v>
      </c>
      <c r="G9" s="114"/>
    </row>
    <row r="10" spans="1:8" ht="15.75" thickBot="1" x14ac:dyDescent="0.3">
      <c r="A10" s="105">
        <v>2021</v>
      </c>
      <c r="B10" s="107">
        <v>199300</v>
      </c>
      <c r="C10" s="107">
        <v>149475</v>
      </c>
      <c r="D10" s="108">
        <v>16608</v>
      </c>
      <c r="E10" s="106">
        <f t="shared" si="0"/>
        <v>2000</v>
      </c>
      <c r="F10" s="118">
        <f t="shared" si="1"/>
        <v>1.0136847440445962E-2</v>
      </c>
      <c r="G10" s="114"/>
    </row>
    <row r="11" spans="1:8" ht="15.75" thickBot="1" x14ac:dyDescent="0.3">
      <c r="A11" s="109">
        <v>2022</v>
      </c>
      <c r="B11" s="110">
        <v>203700</v>
      </c>
      <c r="C11" s="110">
        <v>152775</v>
      </c>
      <c r="D11" s="111">
        <v>16975</v>
      </c>
      <c r="E11" s="106">
        <f t="shared" si="0"/>
        <v>4400</v>
      </c>
      <c r="F11" s="118">
        <f>B11/B10-1</f>
        <v>2.2077270446563046E-2</v>
      </c>
      <c r="G11" s="114"/>
    </row>
    <row r="12" spans="1:8" ht="15.75" thickBot="1" x14ac:dyDescent="0.3">
      <c r="A12" s="105">
        <v>2023</v>
      </c>
      <c r="B12" s="107">
        <v>212100</v>
      </c>
      <c r="C12" s="107">
        <v>159075</v>
      </c>
      <c r="D12" s="108">
        <v>17675</v>
      </c>
      <c r="E12" s="106">
        <f t="shared" ref="E12:E15" si="2">B12-B11</f>
        <v>8400</v>
      </c>
      <c r="F12" s="118">
        <f t="shared" ref="F12:F15" si="3">B12/B11-1</f>
        <v>4.1237113402061931E-2</v>
      </c>
      <c r="G12" s="114"/>
      <c r="H12" s="106"/>
    </row>
    <row r="13" spans="1:8" ht="15.75" thickBot="1" x14ac:dyDescent="0.3">
      <c r="A13" s="105">
        <v>2024</v>
      </c>
      <c r="B13" s="107">
        <v>221900</v>
      </c>
      <c r="C13" s="107">
        <f>D13*9</f>
        <v>166425</v>
      </c>
      <c r="D13" s="108">
        <f>B13/12</f>
        <v>18491.666666666668</v>
      </c>
      <c r="E13" s="106">
        <f t="shared" si="2"/>
        <v>9800</v>
      </c>
      <c r="F13" s="118">
        <f t="shared" si="3"/>
        <v>4.6204620462046098E-2</v>
      </c>
      <c r="G13" s="114"/>
      <c r="H13" s="106"/>
    </row>
    <row r="14" spans="1:8" ht="15.75" thickBot="1" x14ac:dyDescent="0.3">
      <c r="A14" s="105">
        <v>2025</v>
      </c>
      <c r="B14" s="107">
        <v>225700</v>
      </c>
      <c r="C14" s="107">
        <f>D14*9</f>
        <v>169275</v>
      </c>
      <c r="D14" s="108">
        <f>B14/12</f>
        <v>18808.333333333332</v>
      </c>
      <c r="E14" s="106">
        <f t="shared" si="2"/>
        <v>3800</v>
      </c>
      <c r="F14" s="118">
        <f t="shared" si="3"/>
        <v>1.7124831004957208E-2</v>
      </c>
      <c r="G14" s="114"/>
      <c r="H14" s="106"/>
    </row>
    <row r="15" spans="1:8" ht="15.75" thickBot="1" x14ac:dyDescent="0.3">
      <c r="A15" s="197" t="s">
        <v>142</v>
      </c>
      <c r="B15" s="198">
        <v>228000</v>
      </c>
      <c r="C15" s="198">
        <f>D15*9</f>
        <v>171000</v>
      </c>
      <c r="D15" s="199">
        <f>B15/12</f>
        <v>19000</v>
      </c>
      <c r="E15" s="106">
        <f t="shared" si="2"/>
        <v>2300</v>
      </c>
      <c r="F15" s="118">
        <f t="shared" si="3"/>
        <v>1.0190518387239722E-2</v>
      </c>
      <c r="G15" s="114"/>
    </row>
    <row r="16" spans="1:8" ht="15.75" thickBot="1" x14ac:dyDescent="0.3">
      <c r="A16" s="197" t="s">
        <v>148</v>
      </c>
      <c r="B16" s="198">
        <f>B15</f>
        <v>228000</v>
      </c>
      <c r="C16" s="198">
        <f>D16*9</f>
        <v>171000</v>
      </c>
      <c r="D16" s="199">
        <f>D15</f>
        <v>19000</v>
      </c>
      <c r="E16" s="196" t="s">
        <v>147</v>
      </c>
    </row>
    <row r="17" spans="1:6" ht="15.75" thickBot="1" x14ac:dyDescent="0.3">
      <c r="A17" s="105"/>
      <c r="B17" s="107"/>
      <c r="C17" s="107"/>
      <c r="D17" s="108"/>
    </row>
    <row r="18" spans="1:6" x14ac:dyDescent="0.25">
      <c r="A18" s="191" t="s">
        <v>149</v>
      </c>
    </row>
    <row r="20" spans="1:6" ht="15.75" thickBot="1" x14ac:dyDescent="0.3">
      <c r="A20" s="72"/>
      <c r="B20" s="72"/>
      <c r="C20" s="72"/>
      <c r="D20" s="72"/>
      <c r="E20" s="193"/>
      <c r="F20" s="189"/>
    </row>
    <row r="21" spans="1:6" ht="15.75" thickBot="1" x14ac:dyDescent="0.3">
      <c r="A21" s="72" t="s">
        <v>129</v>
      </c>
      <c r="B21" s="194">
        <f>(0.5*B15)+(0.5*B16)</f>
        <v>228000</v>
      </c>
      <c r="C21" s="194">
        <f>(0.5*C15)+(0.5*C16)</f>
        <v>171000</v>
      </c>
      <c r="D21" s="194">
        <f>(0.5*D15)+(0.5*D16)</f>
        <v>19000</v>
      </c>
      <c r="E21" s="193"/>
      <c r="F21" s="190"/>
    </row>
    <row r="22" spans="1:6" x14ac:dyDescent="0.25">
      <c r="A22" s="195" t="s">
        <v>146</v>
      </c>
      <c r="B22" s="72"/>
      <c r="C22" s="72"/>
      <c r="D22" s="72"/>
      <c r="E22" s="72"/>
    </row>
    <row r="24" spans="1:6" x14ac:dyDescent="0.25">
      <c r="B24" s="106"/>
    </row>
    <row r="25" spans="1:6" x14ac:dyDescent="0.25">
      <c r="A25" s="188" t="s">
        <v>150</v>
      </c>
    </row>
  </sheetData>
  <sheetProtection algorithmName="SHA-512" hashValue="mfOLr9b6aJB6lvoQoY9N0TgC7Mveef2yWEt+g5O6kAbp0rW5RutGocZpckFHCy+vHi12hcWgNNWy9pd3raJ1Tw==" saltValue="UZ9+ZmqSPFrvbqgX1OqwEQ==" spinCount="100000" sheet="1" objects="1" scenarios="1"/>
  <phoneticPr fontId="21" type="noConversion"/>
  <pageMargins left="0.7" right="0.7" top="0.75" bottom="0.75" header="0.3" footer="0.3"/>
  <ignoredErrors>
    <ignoredError sqref="C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03C1-AD1F-41A2-9381-9F4401B0BF72}">
  <sheetPr>
    <tabColor theme="8" tint="0.39997558519241921"/>
    <pageSetUpPr fitToPage="1"/>
  </sheetPr>
  <dimension ref="B1:P44"/>
  <sheetViews>
    <sheetView showGridLines="0" zoomScale="110" workbookViewId="0"/>
  </sheetViews>
  <sheetFormatPr defaultRowHeight="15" x14ac:dyDescent="0.25"/>
  <cols>
    <col min="1" max="1" width="2.5703125" customWidth="1"/>
    <col min="2" max="2" width="54" customWidth="1"/>
    <col min="3" max="3" width="17.42578125" customWidth="1"/>
    <col min="4" max="4" width="26.28515625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9.7109375" bestFit="1" customWidth="1"/>
    <col min="14" max="14" width="2.28515625" customWidth="1"/>
    <col min="15" max="15" width="9.7109375" bestFit="1" customWidth="1"/>
    <col min="16" max="16" width="12.85546875" customWidth="1"/>
    <col min="17" max="17" width="2.5703125" customWidth="1"/>
    <col min="18" max="18" width="10" bestFit="1" customWidth="1"/>
  </cols>
  <sheetData>
    <row r="1" spans="2:16" ht="21" x14ac:dyDescent="0.35">
      <c r="B1" s="218" t="s">
        <v>84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21" x14ac:dyDescent="0.35">
      <c r="B3" s="39" t="s">
        <v>85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x14ac:dyDescent="0.35">
      <c r="B4" s="41"/>
      <c r="P4" s="10"/>
    </row>
    <row r="5" spans="2:16" x14ac:dyDescent="0.25">
      <c r="B5" s="9"/>
      <c r="C5" s="42" t="s">
        <v>86</v>
      </c>
      <c r="D5" s="86">
        <v>162896.88</v>
      </c>
      <c r="E5" s="42"/>
      <c r="F5" s="42"/>
      <c r="G5" s="42"/>
      <c r="H5" s="43" t="s">
        <v>3</v>
      </c>
      <c r="I5" s="42"/>
      <c r="J5" s="85">
        <v>0.1</v>
      </c>
      <c r="K5" s="42" t="s">
        <v>32</v>
      </c>
      <c r="M5" s="43" t="s">
        <v>4</v>
      </c>
      <c r="N5" s="42"/>
      <c r="O5" s="87">
        <v>0.25</v>
      </c>
      <c r="P5" s="70" t="s">
        <v>32</v>
      </c>
    </row>
    <row r="6" spans="2:16" ht="15.75" thickBot="1" x14ac:dyDescent="0.3">
      <c r="B6" s="16"/>
      <c r="C6" s="17"/>
      <c r="D6" s="17"/>
      <c r="E6" s="17"/>
      <c r="F6" s="17"/>
      <c r="G6" s="17"/>
      <c r="H6" s="50" t="s">
        <v>33</v>
      </c>
      <c r="I6" s="49" t="s">
        <v>34</v>
      </c>
      <c r="J6" s="49" t="s">
        <v>5</v>
      </c>
      <c r="K6" s="48" t="s">
        <v>35</v>
      </c>
      <c r="L6" s="17"/>
      <c r="M6" s="50" t="s">
        <v>33</v>
      </c>
      <c r="N6" s="49" t="s">
        <v>34</v>
      </c>
      <c r="O6" s="49" t="s">
        <v>6</v>
      </c>
      <c r="P6" s="51" t="s">
        <v>35</v>
      </c>
    </row>
    <row r="7" spans="2:16" ht="15.75" thickBot="1" x14ac:dyDescent="0.3">
      <c r="J7" s="26"/>
      <c r="O7" s="26"/>
    </row>
    <row r="8" spans="2:16" ht="15.75" thickBot="1" x14ac:dyDescent="0.3">
      <c r="C8" s="219" t="s">
        <v>7</v>
      </c>
      <c r="D8" s="220"/>
      <c r="F8" s="219" t="s">
        <v>8</v>
      </c>
      <c r="G8" s="221"/>
      <c r="H8" s="220"/>
      <c r="J8" s="219" t="s">
        <v>9</v>
      </c>
      <c r="K8" s="221"/>
      <c r="L8" s="221"/>
      <c r="M8" s="220"/>
    </row>
    <row r="9" spans="2:16" s="29" customFormat="1" ht="45.75" thickBot="1" x14ac:dyDescent="0.3">
      <c r="B9" s="65" t="s">
        <v>19</v>
      </c>
      <c r="C9" s="31" t="s">
        <v>10</v>
      </c>
      <c r="D9" s="31" t="s">
        <v>11</v>
      </c>
      <c r="E9" s="33"/>
      <c r="F9" s="31" t="s">
        <v>12</v>
      </c>
      <c r="G9" s="31" t="s">
        <v>13</v>
      </c>
      <c r="H9" s="31" t="s">
        <v>17</v>
      </c>
      <c r="I9" s="33"/>
      <c r="J9" s="31" t="s">
        <v>4</v>
      </c>
      <c r="K9" s="31" t="s">
        <v>15</v>
      </c>
      <c r="L9" s="31" t="s">
        <v>16</v>
      </c>
      <c r="M9" s="31" t="s">
        <v>17</v>
      </c>
      <c r="N9" s="33"/>
      <c r="O9" s="31" t="s">
        <v>18</v>
      </c>
      <c r="P9" s="34"/>
    </row>
    <row r="10" spans="2:16" ht="15.75" thickBot="1" x14ac:dyDescent="0.3">
      <c r="B10" s="3" t="s">
        <v>19</v>
      </c>
      <c r="C10" s="4">
        <v>1</v>
      </c>
      <c r="D10" s="5">
        <f>D5</f>
        <v>162896.88</v>
      </c>
      <c r="E10" s="6"/>
      <c r="F10" s="4">
        <f>+C10-J10</f>
        <v>0.75</v>
      </c>
      <c r="G10" s="5">
        <f>+D10</f>
        <v>162896.88</v>
      </c>
      <c r="H10" s="5">
        <f>+G10*F10</f>
        <v>122172.66</v>
      </c>
      <c r="I10" s="6"/>
      <c r="J10" s="19">
        <f>+O5</f>
        <v>0.25</v>
      </c>
      <c r="K10" s="7">
        <f>+$J$5</f>
        <v>0.1</v>
      </c>
      <c r="L10" s="5">
        <f>+D10*(1+K10)</f>
        <v>179186.56800000003</v>
      </c>
      <c r="M10" s="8">
        <f>+J10*L10</f>
        <v>44796.642000000007</v>
      </c>
      <c r="N10" s="6"/>
      <c r="O10" s="8">
        <f>+H10+M10</f>
        <v>166969.30200000003</v>
      </c>
      <c r="P10" s="22">
        <f>+(O10-D10)/D10</f>
        <v>2.5000000000000126E-2</v>
      </c>
    </row>
    <row r="11" spans="2:16" ht="5.25" customHeight="1" thickBot="1" x14ac:dyDescent="0.3">
      <c r="B11" s="9"/>
      <c r="C11" s="11"/>
      <c r="D11" s="12"/>
      <c r="F11" s="11"/>
      <c r="G11" s="12"/>
      <c r="H11" s="12"/>
      <c r="J11" s="4"/>
      <c r="K11" s="13"/>
      <c r="L11" s="5"/>
      <c r="M11" s="8"/>
      <c r="N11" s="6"/>
      <c r="O11" s="8"/>
      <c r="P11" s="69"/>
    </row>
    <row r="12" spans="2:16" ht="15.75" thickBot="1" x14ac:dyDescent="0.3">
      <c r="B12" s="16"/>
      <c r="C12" s="17"/>
      <c r="D12" s="17"/>
      <c r="E12" s="17"/>
      <c r="F12" s="17"/>
      <c r="G12" s="17"/>
      <c r="H12" s="17"/>
      <c r="I12" s="17"/>
      <c r="J12" s="17"/>
      <c r="K12" s="46"/>
      <c r="L12" s="52"/>
      <c r="M12" s="53" t="s">
        <v>20</v>
      </c>
      <c r="N12" s="54"/>
      <c r="O12" s="47">
        <f>+O10-D10</f>
        <v>4072.4220000000205</v>
      </c>
      <c r="P12" s="18"/>
    </row>
    <row r="14" spans="2:16" x14ac:dyDescent="0.25">
      <c r="B14" s="27" t="s">
        <v>28</v>
      </c>
    </row>
    <row r="16" spans="2:16" x14ac:dyDescent="0.25">
      <c r="B16" t="s">
        <v>86</v>
      </c>
      <c r="C16" s="86">
        <f>D5</f>
        <v>162896.88</v>
      </c>
    </row>
    <row r="17" spans="2:5" x14ac:dyDescent="0.25">
      <c r="B17" t="s">
        <v>42</v>
      </c>
      <c r="C17" s="87">
        <f>O5</f>
        <v>0.25</v>
      </c>
    </row>
    <row r="18" spans="2:5" x14ac:dyDescent="0.25">
      <c r="B18" t="s">
        <v>43</v>
      </c>
      <c r="C18" s="85">
        <f>J5</f>
        <v>0.1</v>
      </c>
    </row>
    <row r="19" spans="2:5" ht="15.75" thickBot="1" x14ac:dyDescent="0.3"/>
    <row r="20" spans="2:5" x14ac:dyDescent="0.25">
      <c r="B20" s="76" t="s">
        <v>87</v>
      </c>
      <c r="C20" s="40"/>
    </row>
    <row r="21" spans="2:5" x14ac:dyDescent="0.25">
      <c r="B21" s="9" t="s">
        <v>88</v>
      </c>
      <c r="C21" s="95">
        <f>C17*C16</f>
        <v>40724.22</v>
      </c>
      <c r="D21" t="s">
        <v>89</v>
      </c>
    </row>
    <row r="22" spans="2:5" x14ac:dyDescent="0.25">
      <c r="B22" s="9" t="s">
        <v>90</v>
      </c>
      <c r="C22" s="96">
        <f>C18*C16*C17</f>
        <v>4072.4220000000005</v>
      </c>
    </row>
    <row r="23" spans="2:5" x14ac:dyDescent="0.25">
      <c r="B23" s="9"/>
      <c r="C23" s="95"/>
    </row>
    <row r="24" spans="2:5" ht="15.75" thickBot="1" x14ac:dyDescent="0.3">
      <c r="B24" s="77" t="s">
        <v>51</v>
      </c>
      <c r="C24" s="97">
        <f>SUM(C21:C22)</f>
        <v>44796.642</v>
      </c>
    </row>
    <row r="25" spans="2:5" ht="15.75" thickBot="1" x14ac:dyDescent="0.3">
      <c r="C25" s="75"/>
    </row>
    <row r="26" spans="2:5" x14ac:dyDescent="0.25">
      <c r="B26" s="76" t="s">
        <v>92</v>
      </c>
      <c r="C26" s="78"/>
      <c r="D26" t="s">
        <v>93</v>
      </c>
    </row>
    <row r="27" spans="2:5" x14ac:dyDescent="0.25">
      <c r="B27" s="9" t="s">
        <v>95</v>
      </c>
      <c r="C27" s="82">
        <v>0.25</v>
      </c>
    </row>
    <row r="28" spans="2:5" ht="15.75" thickBot="1" x14ac:dyDescent="0.3">
      <c r="B28" s="16" t="s">
        <v>97</v>
      </c>
      <c r="C28" s="98">
        <f>C27*C16</f>
        <v>40724.22</v>
      </c>
    </row>
    <row r="29" spans="2:5" x14ac:dyDescent="0.25">
      <c r="C29" s="99"/>
      <c r="D29" s="26" t="s">
        <v>60</v>
      </c>
    </row>
    <row r="30" spans="2:5" x14ac:dyDescent="0.25">
      <c r="B30" t="s">
        <v>62</v>
      </c>
      <c r="C30" s="14">
        <f>D30*(C24-C28)</f>
        <v>1099.5539399999998</v>
      </c>
      <c r="D30" s="81">
        <v>0.27</v>
      </c>
      <c r="E30" t="s">
        <v>63</v>
      </c>
    </row>
    <row r="31" spans="2:5" x14ac:dyDescent="0.25">
      <c r="B31" t="s">
        <v>64</v>
      </c>
      <c r="C31" s="14">
        <f>D31*(C24-C28+C30)</f>
        <v>2948.0262857999987</v>
      </c>
      <c r="D31" s="81">
        <v>0.56999999999999995</v>
      </c>
      <c r="E31" t="s">
        <v>65</v>
      </c>
    </row>
    <row r="32" spans="2:5" x14ac:dyDescent="0.25">
      <c r="C32" s="14"/>
    </row>
    <row r="33" spans="2:7" ht="15.75" thickBot="1" x14ac:dyDescent="0.3">
      <c r="B33" s="74" t="s">
        <v>67</v>
      </c>
      <c r="C33" s="100">
        <f>(C24-C28)+C30+C31</f>
        <v>8120.0022257999972</v>
      </c>
      <c r="D33" t="s">
        <v>68</v>
      </c>
    </row>
    <row r="34" spans="2:7" ht="15.75" thickTop="1" x14ac:dyDescent="0.25"/>
    <row r="35" spans="2:7" x14ac:dyDescent="0.25">
      <c r="B35" s="79" t="s">
        <v>71</v>
      </c>
      <c r="C35" s="80" t="s">
        <v>72</v>
      </c>
      <c r="D35" s="80" t="s">
        <v>73</v>
      </c>
      <c r="E35" s="200"/>
      <c r="F35" s="200"/>
      <c r="G35" s="200"/>
    </row>
    <row r="36" spans="2:7" x14ac:dyDescent="0.25">
      <c r="B36" s="83" t="s">
        <v>99</v>
      </c>
      <c r="C36" s="81">
        <v>1</v>
      </c>
      <c r="D36" s="94">
        <f>C36*$C$24</f>
        <v>44796.642</v>
      </c>
      <c r="E36" s="200"/>
      <c r="F36" s="200"/>
      <c r="G36" s="200"/>
    </row>
    <row r="37" spans="2:7" x14ac:dyDescent="0.25">
      <c r="B37" s="83" t="s">
        <v>100</v>
      </c>
      <c r="C37" s="81">
        <v>0</v>
      </c>
      <c r="D37" s="94">
        <f t="shared" ref="D37:D42" si="0">C37*$C$24</f>
        <v>0</v>
      </c>
      <c r="E37" s="200"/>
      <c r="F37" s="200"/>
      <c r="G37" s="200"/>
    </row>
    <row r="38" spans="2:7" x14ac:dyDescent="0.25">
      <c r="B38" s="83" t="s">
        <v>76</v>
      </c>
      <c r="C38" s="81"/>
      <c r="D38" s="94">
        <f t="shared" si="0"/>
        <v>0</v>
      </c>
      <c r="E38" s="200"/>
      <c r="F38" s="200"/>
      <c r="G38" s="200"/>
    </row>
    <row r="39" spans="2:7" x14ac:dyDescent="0.25">
      <c r="B39" s="83" t="s">
        <v>77</v>
      </c>
      <c r="C39" s="81"/>
      <c r="D39" s="94">
        <f t="shared" si="0"/>
        <v>0</v>
      </c>
      <c r="E39" s="200"/>
      <c r="F39" s="200"/>
      <c r="G39" s="200"/>
    </row>
    <row r="40" spans="2:7" x14ac:dyDescent="0.25">
      <c r="B40" s="83" t="s">
        <v>78</v>
      </c>
      <c r="C40" s="81"/>
      <c r="D40" s="94">
        <f t="shared" si="0"/>
        <v>0</v>
      </c>
      <c r="E40" s="200"/>
      <c r="F40" s="200"/>
      <c r="G40" s="200"/>
    </row>
    <row r="41" spans="2:7" x14ac:dyDescent="0.25">
      <c r="B41" s="83" t="s">
        <v>79</v>
      </c>
      <c r="C41" s="83"/>
      <c r="D41" s="94">
        <f t="shared" si="0"/>
        <v>0</v>
      </c>
      <c r="E41" s="200"/>
      <c r="F41" s="200"/>
      <c r="G41" s="200"/>
    </row>
    <row r="42" spans="2:7" x14ac:dyDescent="0.25">
      <c r="B42" s="83" t="s">
        <v>80</v>
      </c>
      <c r="C42" s="83"/>
      <c r="D42" s="94">
        <f t="shared" si="0"/>
        <v>0</v>
      </c>
    </row>
    <row r="43" spans="2:7" ht="15.75" thickBot="1" x14ac:dyDescent="0.3"/>
    <row r="44" spans="2:7" ht="15.75" thickBot="1" x14ac:dyDescent="0.3">
      <c r="B44" s="91" t="s">
        <v>81</v>
      </c>
      <c r="C44" s="92">
        <f>C21-C28</f>
        <v>0</v>
      </c>
    </row>
  </sheetData>
  <protectedRanges>
    <protectedRange sqref="A3:XFD6" name="Parameters"/>
    <protectedRange sqref="D5 J5 O5 C27 D30:D31 B36:C42" name="Range2"/>
  </protectedRanges>
  <mergeCells count="11">
    <mergeCell ref="E41:G41"/>
    <mergeCell ref="E36:G36"/>
    <mergeCell ref="E37:G37"/>
    <mergeCell ref="E38:G38"/>
    <mergeCell ref="E39:G39"/>
    <mergeCell ref="E40:G40"/>
    <mergeCell ref="B1:P1"/>
    <mergeCell ref="C8:D8"/>
    <mergeCell ref="F8:H8"/>
    <mergeCell ref="J8:M8"/>
    <mergeCell ref="E35:G35"/>
  </mergeCells>
  <printOptions horizontalCentered="1"/>
  <pageMargins left="0.45" right="0.45" top="0.5" bottom="0.5" header="0.3" footer="0.3"/>
  <pageSetup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6A31CA-CE11-4749-9AE4-CFE8019F4EB8}">
          <x14:formula1>
            <xm:f>Lists!$A$2:$A$5</xm:f>
          </x14:formula1>
          <xm:sqref>J5</xm:sqref>
        </x14:dataValidation>
        <x14:dataValidation type="list" allowBlank="1" showInputMessage="1" showErrorMessage="1" xr:uid="{290C4FFD-914F-4A91-A6E4-990E79681450}">
          <x14:formula1>
            <xm:f>Lists!$C$2:$C$12</xm:f>
          </x14:formula1>
          <xm:sqref>O5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42F24-1D04-495A-9C84-1A235C5E90AF}">
  <sheetPr>
    <tabColor theme="8" tint="0.39997558519241921"/>
    <pageSetUpPr fitToPage="1"/>
  </sheetPr>
  <dimension ref="B1:P29"/>
  <sheetViews>
    <sheetView showGridLines="0" zoomScale="110" workbookViewId="0">
      <selection activeCell="A29" sqref="A29:XFD29"/>
    </sheetView>
  </sheetViews>
  <sheetFormatPr defaultRowHeight="15" x14ac:dyDescent="0.25"/>
  <cols>
    <col min="1" max="1" width="3.140625" customWidth="1"/>
    <col min="2" max="2" width="16.140625" customWidth="1"/>
    <col min="4" max="4" width="14.28515625" bestFit="1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9.7109375" bestFit="1" customWidth="1"/>
    <col min="14" max="14" width="2.28515625" customWidth="1"/>
    <col min="15" max="15" width="10" bestFit="1" customWidth="1"/>
    <col min="16" max="16" width="14.42578125" bestFit="1" customWidth="1"/>
    <col min="17" max="17" width="2.5703125" customWidth="1"/>
    <col min="18" max="18" width="10" bestFit="1" customWidth="1"/>
  </cols>
  <sheetData>
    <row r="1" spans="2:16" ht="21" x14ac:dyDescent="0.35">
      <c r="B1" s="218" t="s">
        <v>29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5.75" x14ac:dyDescent="0.25">
      <c r="B3" s="55" t="s">
        <v>31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thickBot="1" x14ac:dyDescent="0.4">
      <c r="B4" s="41"/>
      <c r="P4" s="10"/>
    </row>
    <row r="5" spans="2:16" ht="15.75" thickBot="1" x14ac:dyDescent="0.3">
      <c r="B5" s="9"/>
      <c r="C5" s="42" t="s">
        <v>2</v>
      </c>
      <c r="D5" s="36">
        <v>200000</v>
      </c>
      <c r="E5" s="42"/>
      <c r="F5" s="42"/>
      <c r="G5" s="42"/>
      <c r="H5" s="43" t="s">
        <v>3</v>
      </c>
      <c r="I5" s="42"/>
      <c r="J5" s="37">
        <v>0.2</v>
      </c>
      <c r="K5" s="42" t="s">
        <v>32</v>
      </c>
      <c r="M5" s="43" t="s">
        <v>4</v>
      </c>
      <c r="N5" s="42"/>
      <c r="O5" s="38">
        <v>0.25</v>
      </c>
      <c r="P5" s="70" t="s">
        <v>32</v>
      </c>
    </row>
    <row r="6" spans="2:16" x14ac:dyDescent="0.25">
      <c r="B6" s="9"/>
      <c r="C6" s="42"/>
      <c r="D6" s="61"/>
      <c r="E6" s="42"/>
      <c r="F6" s="42"/>
      <c r="G6" s="42"/>
      <c r="H6" s="58" t="s">
        <v>33</v>
      </c>
      <c r="I6" s="27" t="s">
        <v>34</v>
      </c>
      <c r="J6" s="59" t="s">
        <v>5</v>
      </c>
      <c r="K6" s="27" t="s">
        <v>35</v>
      </c>
      <c r="M6" s="58" t="s">
        <v>33</v>
      </c>
      <c r="N6" s="27" t="s">
        <v>34</v>
      </c>
      <c r="O6" s="60" t="s">
        <v>6</v>
      </c>
      <c r="P6" s="57" t="s">
        <v>36</v>
      </c>
    </row>
    <row r="7" spans="2:16" ht="9" customHeight="1" thickBot="1" x14ac:dyDescent="0.3">
      <c r="B7" s="9"/>
      <c r="C7" s="42"/>
      <c r="D7" s="62"/>
      <c r="E7" s="42"/>
      <c r="F7" s="42"/>
      <c r="G7" s="42"/>
      <c r="H7" s="58"/>
      <c r="I7" s="27"/>
      <c r="J7" s="63"/>
      <c r="K7" s="27"/>
      <c r="M7" s="58"/>
      <c r="N7" s="27"/>
      <c r="O7" s="64"/>
      <c r="P7" s="57"/>
    </row>
    <row r="8" spans="2:16" ht="15.75" thickBot="1" x14ac:dyDescent="0.3">
      <c r="B8" s="9"/>
      <c r="E8" s="42"/>
      <c r="F8" s="56" t="s">
        <v>37</v>
      </c>
      <c r="G8" s="38">
        <v>10</v>
      </c>
      <c r="H8" s="58"/>
      <c r="I8" s="42"/>
      <c r="K8" s="56" t="s">
        <v>38</v>
      </c>
      <c r="L8" s="38">
        <v>5</v>
      </c>
      <c r="N8" s="27"/>
      <c r="O8" s="64"/>
      <c r="P8" s="57"/>
    </row>
    <row r="9" spans="2:16" ht="15.75" thickBot="1" x14ac:dyDescent="0.3">
      <c r="B9" s="16"/>
      <c r="C9" s="17"/>
      <c r="D9" s="17"/>
      <c r="E9" s="17"/>
      <c r="F9" s="17"/>
      <c r="G9" s="17"/>
      <c r="H9" s="50"/>
      <c r="I9" s="49"/>
      <c r="J9" s="49"/>
      <c r="K9" s="48"/>
      <c r="L9" s="17"/>
      <c r="M9" s="50"/>
      <c r="N9" s="49"/>
      <c r="O9" s="49"/>
      <c r="P9" s="51"/>
    </row>
    <row r="10" spans="2:16" ht="15.75" thickBot="1" x14ac:dyDescent="0.3">
      <c r="J10" s="26"/>
      <c r="O10" s="26"/>
    </row>
    <row r="11" spans="2:16" ht="15.75" thickBot="1" x14ac:dyDescent="0.3">
      <c r="C11" s="219" t="s">
        <v>7</v>
      </c>
      <c r="D11" s="220"/>
      <c r="F11" s="219" t="s">
        <v>130</v>
      </c>
      <c r="G11" s="221"/>
      <c r="H11" s="220"/>
      <c r="J11" s="219" t="s">
        <v>131</v>
      </c>
      <c r="K11" s="221"/>
      <c r="L11" s="221"/>
      <c r="M11" s="220"/>
    </row>
    <row r="12" spans="2:16" s="29" customFormat="1" ht="45.75" thickBot="1" x14ac:dyDescent="0.3">
      <c r="B12" s="65" t="s">
        <v>132</v>
      </c>
      <c r="C12" s="31" t="s">
        <v>10</v>
      </c>
      <c r="D12" s="31" t="s">
        <v>11</v>
      </c>
      <c r="E12" s="33"/>
      <c r="F12" s="31" t="s">
        <v>12</v>
      </c>
      <c r="G12" s="31" t="s">
        <v>13</v>
      </c>
      <c r="H12" s="31" t="s">
        <v>17</v>
      </c>
      <c r="I12" s="33"/>
      <c r="J12" s="31" t="s">
        <v>4</v>
      </c>
      <c r="K12" s="31" t="s">
        <v>15</v>
      </c>
      <c r="L12" s="31" t="s">
        <v>16</v>
      </c>
      <c r="M12" s="31" t="s">
        <v>17</v>
      </c>
      <c r="N12" s="33"/>
      <c r="O12" s="31" t="s">
        <v>18</v>
      </c>
      <c r="P12" s="34"/>
    </row>
    <row r="13" spans="2:16" ht="15.75" thickBot="1" x14ac:dyDescent="0.3">
      <c r="B13" s="9" t="s">
        <v>21</v>
      </c>
      <c r="C13" s="11">
        <v>1</v>
      </c>
      <c r="D13" s="12">
        <f>+$D$5</f>
        <v>200000</v>
      </c>
      <c r="F13" s="11">
        <f>+C13-J13</f>
        <v>0.75</v>
      </c>
      <c r="G13" s="12">
        <f>+D13</f>
        <v>200000</v>
      </c>
      <c r="H13" s="12">
        <f>+G13*F13</f>
        <v>150000</v>
      </c>
      <c r="J13" s="19">
        <f>+O5</f>
        <v>0.25</v>
      </c>
      <c r="K13" s="13">
        <f>+$J$5</f>
        <v>0.2</v>
      </c>
      <c r="L13" s="12">
        <f>+D13*(1+K13)</f>
        <v>240000</v>
      </c>
      <c r="M13" s="14">
        <f>+J13*L13</f>
        <v>60000</v>
      </c>
      <c r="O13" s="14">
        <f>+H13+M13</f>
        <v>210000</v>
      </c>
      <c r="P13" s="22">
        <f>+(O13-D13)/D13</f>
        <v>0.05</v>
      </c>
    </row>
    <row r="14" spans="2:16" ht="6.75" customHeight="1" thickBot="1" x14ac:dyDescent="0.3">
      <c r="B14" s="9"/>
      <c r="C14" s="11"/>
      <c r="D14" s="12"/>
      <c r="F14" s="11"/>
      <c r="G14" s="12"/>
      <c r="H14" s="12"/>
      <c r="J14" s="4"/>
      <c r="K14" s="13"/>
      <c r="L14" s="12"/>
      <c r="M14" s="14"/>
      <c r="O14" s="14"/>
      <c r="P14" s="69"/>
    </row>
    <row r="15" spans="2:16" ht="15.75" thickBot="1" x14ac:dyDescent="0.3">
      <c r="B15" s="16" t="s">
        <v>22</v>
      </c>
      <c r="C15" s="17"/>
      <c r="D15" s="17"/>
      <c r="E15" s="17"/>
      <c r="F15" s="17"/>
      <c r="G15" s="17"/>
      <c r="H15" s="17"/>
      <c r="I15" s="17"/>
      <c r="J15" s="17"/>
      <c r="K15" s="46"/>
      <c r="L15" s="52"/>
      <c r="M15" s="53" t="s">
        <v>20</v>
      </c>
      <c r="N15" s="54"/>
      <c r="O15" s="47">
        <f>+O13-D13</f>
        <v>10000</v>
      </c>
      <c r="P15" s="18"/>
    </row>
    <row r="16" spans="2:16" x14ac:dyDescent="0.25">
      <c r="K16" s="13"/>
    </row>
    <row r="17" spans="2:16" ht="15.75" thickBot="1" x14ac:dyDescent="0.3"/>
    <row r="18" spans="2:16" ht="15.75" thickBot="1" x14ac:dyDescent="0.3">
      <c r="C18" s="219" t="s">
        <v>7</v>
      </c>
      <c r="D18" s="220"/>
      <c r="F18" s="219" t="s">
        <v>133</v>
      </c>
      <c r="G18" s="221"/>
      <c r="H18" s="220"/>
      <c r="J18" s="219" t="s">
        <v>134</v>
      </c>
      <c r="K18" s="221"/>
      <c r="L18" s="221"/>
      <c r="M18" s="220"/>
    </row>
    <row r="19" spans="2:16" ht="45.75" thickBot="1" x14ac:dyDescent="0.3">
      <c r="B19" s="65" t="s">
        <v>135</v>
      </c>
      <c r="C19" s="31" t="s">
        <v>10</v>
      </c>
      <c r="D19" s="31" t="s">
        <v>11</v>
      </c>
      <c r="E19" s="33"/>
      <c r="F19" s="31" t="s">
        <v>12</v>
      </c>
      <c r="G19" s="31" t="s">
        <v>13</v>
      </c>
      <c r="H19" s="31" t="s">
        <v>17</v>
      </c>
      <c r="I19" s="33"/>
      <c r="J19" s="31" t="s">
        <v>4</v>
      </c>
      <c r="K19" s="31" t="s">
        <v>15</v>
      </c>
      <c r="L19" s="31" t="s">
        <v>16</v>
      </c>
      <c r="M19" s="31" t="s">
        <v>17</v>
      </c>
      <c r="N19" s="33"/>
      <c r="O19" s="31" t="s">
        <v>18</v>
      </c>
      <c r="P19" s="34"/>
    </row>
    <row r="20" spans="2:16" ht="15.75" thickBot="1" x14ac:dyDescent="0.3">
      <c r="B20" s="9" t="s">
        <v>21</v>
      </c>
      <c r="C20" s="11">
        <v>1</v>
      </c>
      <c r="D20" s="12">
        <f>+$D$5</f>
        <v>200000</v>
      </c>
      <c r="F20" s="11">
        <f>+C20-J20</f>
        <v>0.75</v>
      </c>
      <c r="G20" s="12">
        <f>+D20</f>
        <v>200000</v>
      </c>
      <c r="H20" s="12">
        <f>+G20*F20</f>
        <v>150000</v>
      </c>
      <c r="J20" s="19">
        <f>+O5</f>
        <v>0.25</v>
      </c>
      <c r="K20" s="13">
        <f>+$J$5</f>
        <v>0.2</v>
      </c>
      <c r="L20" s="12">
        <f>+D20*(1+K20)</f>
        <v>240000</v>
      </c>
      <c r="M20" s="14">
        <f>+J20*L20</f>
        <v>60000</v>
      </c>
      <c r="O20" s="14">
        <f>+H20+M20</f>
        <v>210000</v>
      </c>
      <c r="P20" s="15">
        <f>+(O20-D20)/D20</f>
        <v>0.05</v>
      </c>
    </row>
    <row r="21" spans="2:16" ht="3.75" customHeight="1" x14ac:dyDescent="0.25">
      <c r="B21" s="9"/>
      <c r="C21" s="11"/>
      <c r="D21" s="12"/>
      <c r="F21" s="11"/>
      <c r="G21" s="12"/>
      <c r="H21" s="12"/>
      <c r="J21" s="4"/>
      <c r="K21" s="13"/>
      <c r="L21" s="12"/>
      <c r="M21" s="14"/>
      <c r="O21" s="14"/>
      <c r="P21" s="15"/>
    </row>
    <row r="22" spans="2:16" ht="15.75" thickBot="1" x14ac:dyDescent="0.3">
      <c r="B22" s="9"/>
      <c r="C22" s="67" t="s">
        <v>39</v>
      </c>
      <c r="D22" s="12"/>
      <c r="F22" s="67" t="s">
        <v>39</v>
      </c>
      <c r="G22" s="12"/>
      <c r="H22" s="12"/>
      <c r="J22" s="68"/>
      <c r="K22" s="67" t="s">
        <v>39</v>
      </c>
      <c r="L22" s="12"/>
      <c r="M22" s="14"/>
      <c r="O22" s="14"/>
      <c r="P22" s="15"/>
    </row>
    <row r="23" spans="2:16" ht="15.75" thickBot="1" x14ac:dyDescent="0.3">
      <c r="B23" s="9" t="s">
        <v>23</v>
      </c>
      <c r="C23" s="11">
        <f>G8</f>
        <v>10</v>
      </c>
      <c r="D23" s="1">
        <f>+D20*0.02778*C23</f>
        <v>55560</v>
      </c>
      <c r="F23" s="11">
        <f>C23-K23</f>
        <v>5</v>
      </c>
      <c r="G23" s="14">
        <f>+G20</f>
        <v>200000</v>
      </c>
      <c r="H23" s="12">
        <f>((+D20)*0.02778)*F23</f>
        <v>27780</v>
      </c>
      <c r="J23" s="19">
        <v>1</v>
      </c>
      <c r="K23" s="11">
        <f>L8</f>
        <v>5</v>
      </c>
      <c r="L23" s="12">
        <f>+L20</f>
        <v>240000</v>
      </c>
      <c r="M23" s="12">
        <f>((+L23)*0.02778)*K23</f>
        <v>33336</v>
      </c>
      <c r="O23" s="2">
        <f>+M23+H23</f>
        <v>61116</v>
      </c>
      <c r="P23" s="15">
        <f>IF(K23&gt;0,(+(O23-D23)/D23),0)</f>
        <v>0.1</v>
      </c>
    </row>
    <row r="24" spans="2:16" ht="15.75" thickBot="1" x14ac:dyDescent="0.3">
      <c r="B24" s="9"/>
      <c r="D24" s="14">
        <f>SUM(D20:D23)</f>
        <v>255560</v>
      </c>
      <c r="G24" s="26" t="s">
        <v>26</v>
      </c>
      <c r="O24" s="14">
        <f>SUM(O20:O23)</f>
        <v>271116</v>
      </c>
      <c r="P24" s="22">
        <f>+(O24-D24)/D24</f>
        <v>6.0870245734856783E-2</v>
      </c>
    </row>
    <row r="25" spans="2:16" ht="5.25" customHeight="1" thickBot="1" x14ac:dyDescent="0.3">
      <c r="B25" s="9"/>
      <c r="D25" s="14"/>
      <c r="O25" s="14"/>
      <c r="P25" s="69"/>
    </row>
    <row r="26" spans="2:16" ht="15.75" thickBot="1" x14ac:dyDescent="0.3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52"/>
      <c r="M26" s="53" t="s">
        <v>20</v>
      </c>
      <c r="N26" s="54"/>
      <c r="O26" s="47">
        <f>+O24-D24</f>
        <v>15556</v>
      </c>
      <c r="P26" s="18"/>
    </row>
    <row r="28" spans="2:16" x14ac:dyDescent="0.25">
      <c r="B28" s="27" t="s">
        <v>27</v>
      </c>
    </row>
    <row r="29" spans="2:16" s="72" customFormat="1" x14ac:dyDescent="0.25">
      <c r="B29" s="71" t="s">
        <v>136</v>
      </c>
    </row>
  </sheetData>
  <protectedRanges>
    <protectedRange sqref="B9:G9 Q9:XFD9 B3:B8 C3:XFD7 N8:XFD8 K8:L8 E8:I8" name="Parameters"/>
    <protectedRange sqref="H9:P9" name="Parameters_1"/>
  </protectedRanges>
  <mergeCells count="7">
    <mergeCell ref="J11:M11"/>
    <mergeCell ref="F11:H11"/>
    <mergeCell ref="C11:D11"/>
    <mergeCell ref="B1:P1"/>
    <mergeCell ref="C18:D18"/>
    <mergeCell ref="F18:H18"/>
    <mergeCell ref="J18:M18"/>
  </mergeCells>
  <printOptions horizontalCentered="1"/>
  <pageMargins left="0.45" right="0.45" top="0.5" bottom="0.5" header="0.3" footer="0.3"/>
  <pageSetup scale="7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0757E7-82B7-457B-82FB-9732E76472A8}">
          <x14:formula1>
            <xm:f>Lists!$A$2:$A$5</xm:f>
          </x14:formula1>
          <xm:sqref>J5</xm:sqref>
        </x14:dataValidation>
        <x14:dataValidation type="list" allowBlank="1" showInputMessage="1" showErrorMessage="1" xr:uid="{EC62EB13-AE02-4251-AA28-3D0A108692D9}">
          <x14:formula1>
            <xm:f>Lists!$C$2:$C$12</xm:f>
          </x14:formula1>
          <xm:sqref>O5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2E1B-6EA0-4390-8327-71A04EC630C3}">
  <sheetPr>
    <tabColor theme="8" tint="0.39997558519241921"/>
    <pageSetUpPr fitToPage="1"/>
  </sheetPr>
  <dimension ref="B1:P53"/>
  <sheetViews>
    <sheetView showGridLines="0" zoomScaleNormal="100" workbookViewId="0"/>
  </sheetViews>
  <sheetFormatPr defaultRowHeight="15" x14ac:dyDescent="0.25"/>
  <cols>
    <col min="1" max="1" width="2.5703125" customWidth="1"/>
    <col min="2" max="2" width="54" customWidth="1"/>
    <col min="3" max="3" width="17.42578125" customWidth="1"/>
    <col min="4" max="4" width="26.28515625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12.7109375" bestFit="1" customWidth="1"/>
    <col min="14" max="14" width="2.28515625" customWidth="1"/>
    <col min="15" max="15" width="12.5703125" bestFit="1" customWidth="1"/>
    <col min="16" max="16" width="14.42578125" bestFit="1" customWidth="1"/>
    <col min="17" max="17" width="2.5703125" customWidth="1"/>
    <col min="18" max="18" width="10" bestFit="1" customWidth="1"/>
  </cols>
  <sheetData>
    <row r="1" spans="2:16" ht="21" x14ac:dyDescent="0.35">
      <c r="B1" s="218" t="s">
        <v>29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5.75" x14ac:dyDescent="0.25">
      <c r="B3" s="55" t="s">
        <v>31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thickBot="1" x14ac:dyDescent="0.4">
      <c r="B4" s="41"/>
      <c r="P4" s="10"/>
    </row>
    <row r="5" spans="2:16" ht="15.75" thickBot="1" x14ac:dyDescent="0.3">
      <c r="B5" s="9"/>
      <c r="C5" s="42" t="s">
        <v>2</v>
      </c>
      <c r="D5" s="93">
        <v>120886.92</v>
      </c>
      <c r="E5" s="42"/>
      <c r="F5" s="42"/>
      <c r="G5" s="42"/>
      <c r="H5" s="43" t="s">
        <v>3</v>
      </c>
      <c r="I5" s="42"/>
      <c r="J5" s="84">
        <v>0.25</v>
      </c>
      <c r="K5" s="42" t="s">
        <v>32</v>
      </c>
      <c r="M5" s="43" t="s">
        <v>4</v>
      </c>
      <c r="N5" s="42"/>
      <c r="O5" s="88">
        <v>0.5</v>
      </c>
      <c r="P5" s="70" t="s">
        <v>32</v>
      </c>
    </row>
    <row r="6" spans="2:16" x14ac:dyDescent="0.25">
      <c r="B6" s="9"/>
      <c r="C6" s="42"/>
      <c r="D6" s="61"/>
      <c r="E6" s="42"/>
      <c r="F6" s="42"/>
      <c r="G6" s="42"/>
      <c r="H6" s="58" t="s">
        <v>33</v>
      </c>
      <c r="I6" s="27" t="s">
        <v>34</v>
      </c>
      <c r="J6" s="59" t="s">
        <v>5</v>
      </c>
      <c r="K6" s="27" t="s">
        <v>35</v>
      </c>
      <c r="M6" s="58" t="s">
        <v>33</v>
      </c>
      <c r="N6" s="27" t="s">
        <v>34</v>
      </c>
      <c r="O6" s="60" t="s">
        <v>6</v>
      </c>
      <c r="P6" s="57" t="s">
        <v>36</v>
      </c>
    </row>
    <row r="7" spans="2:16" ht="9" customHeight="1" thickBot="1" x14ac:dyDescent="0.3">
      <c r="B7" s="9"/>
      <c r="C7" s="42"/>
      <c r="D7" s="62"/>
      <c r="E7" s="42"/>
      <c r="F7" s="42"/>
      <c r="G7" s="42"/>
      <c r="H7" s="58"/>
      <c r="I7" s="27"/>
      <c r="J7" s="63"/>
      <c r="K7" s="27"/>
      <c r="M7" s="58"/>
      <c r="N7" s="27"/>
      <c r="O7" s="64"/>
      <c r="P7" s="57"/>
    </row>
    <row r="8" spans="2:16" ht="15.75" thickBot="1" x14ac:dyDescent="0.3">
      <c r="B8" s="9"/>
      <c r="E8" s="42"/>
      <c r="F8" s="56" t="s">
        <v>37</v>
      </c>
      <c r="G8" s="38"/>
      <c r="H8" s="58"/>
      <c r="I8" s="42"/>
      <c r="K8" s="56" t="s">
        <v>38</v>
      </c>
      <c r="L8" s="38"/>
      <c r="N8" s="27"/>
      <c r="O8" s="64"/>
      <c r="P8" s="57"/>
    </row>
    <row r="9" spans="2:16" ht="15.75" thickBot="1" x14ac:dyDescent="0.3">
      <c r="B9" s="16"/>
      <c r="C9" s="17"/>
      <c r="D9" s="17"/>
      <c r="E9" s="17"/>
      <c r="F9" s="17"/>
      <c r="G9" s="49"/>
      <c r="H9" s="50"/>
      <c r="I9" s="49"/>
      <c r="J9" s="49"/>
      <c r="K9" s="48"/>
      <c r="L9" s="17"/>
      <c r="M9" s="50"/>
      <c r="N9" s="49"/>
      <c r="O9" s="49"/>
      <c r="P9" s="51"/>
    </row>
    <row r="10" spans="2:16" ht="15.75" thickBot="1" x14ac:dyDescent="0.3">
      <c r="J10" s="26"/>
      <c r="O10" s="26"/>
    </row>
    <row r="11" spans="2:16" ht="15.75" thickBot="1" x14ac:dyDescent="0.3">
      <c r="C11" s="219" t="s">
        <v>7</v>
      </c>
      <c r="D11" s="220"/>
      <c r="F11" s="219" t="s">
        <v>8</v>
      </c>
      <c r="G11" s="221"/>
      <c r="H11" s="220"/>
      <c r="J11" s="219" t="s">
        <v>9</v>
      </c>
      <c r="K11" s="221"/>
      <c r="L11" s="221"/>
      <c r="M11" s="220"/>
    </row>
    <row r="12" spans="2:16" ht="45.75" thickBot="1" x14ac:dyDescent="0.3">
      <c r="B12" s="65" t="s">
        <v>21</v>
      </c>
      <c r="C12" s="31" t="s">
        <v>10</v>
      </c>
      <c r="D12" s="31" t="s">
        <v>11</v>
      </c>
      <c r="E12" s="33"/>
      <c r="F12" s="31" t="s">
        <v>12</v>
      </c>
      <c r="G12" s="31" t="s">
        <v>13</v>
      </c>
      <c r="H12" s="31" t="s">
        <v>17</v>
      </c>
      <c r="I12" s="33"/>
      <c r="J12" s="31" t="s">
        <v>4</v>
      </c>
      <c r="K12" s="31" t="s">
        <v>15</v>
      </c>
      <c r="L12" s="31" t="s">
        <v>16</v>
      </c>
      <c r="M12" s="31" t="s">
        <v>17</v>
      </c>
      <c r="N12" s="33"/>
      <c r="O12" s="31" t="s">
        <v>18</v>
      </c>
      <c r="P12" s="34"/>
    </row>
    <row r="13" spans="2:16" ht="15.75" thickBot="1" x14ac:dyDescent="0.3">
      <c r="B13" s="9" t="s">
        <v>21</v>
      </c>
      <c r="C13" s="11">
        <v>1</v>
      </c>
      <c r="D13" s="12">
        <f>+$D$5</f>
        <v>120886.92</v>
      </c>
      <c r="F13" s="11">
        <f>+C13-J13</f>
        <v>0.5</v>
      </c>
      <c r="G13" s="12">
        <f>+D13</f>
        <v>120886.92</v>
      </c>
      <c r="H13" s="12">
        <f>+G13*F13</f>
        <v>60443.46</v>
      </c>
      <c r="J13" s="19">
        <f>+O5</f>
        <v>0.5</v>
      </c>
      <c r="K13" s="13">
        <f>+$J$5</f>
        <v>0.25</v>
      </c>
      <c r="L13" s="12">
        <f>+D13*(1+K13)</f>
        <v>151108.65</v>
      </c>
      <c r="M13" s="14">
        <f>+J13*L13</f>
        <v>75554.324999999997</v>
      </c>
      <c r="N13" s="14"/>
      <c r="O13" s="14">
        <f>+H13+M13</f>
        <v>135997.785</v>
      </c>
      <c r="P13" s="15">
        <f>+(O13-D13)/D13</f>
        <v>0.12500000000000006</v>
      </c>
    </row>
    <row r="14" spans="2:16" ht="3.75" customHeight="1" x14ac:dyDescent="0.25">
      <c r="B14" s="9"/>
      <c r="C14" s="11"/>
      <c r="D14" s="12"/>
      <c r="F14" s="11"/>
      <c r="G14" s="12"/>
      <c r="H14" s="12"/>
      <c r="J14" s="4"/>
      <c r="K14" s="13"/>
      <c r="L14" s="12"/>
      <c r="M14" s="14"/>
      <c r="N14" s="14"/>
      <c r="O14" s="14"/>
      <c r="P14" s="15"/>
    </row>
    <row r="15" spans="2:16" ht="15.75" thickBot="1" x14ac:dyDescent="0.3">
      <c r="B15" s="9"/>
      <c r="C15" s="67" t="s">
        <v>39</v>
      </c>
      <c r="D15" s="12"/>
      <c r="F15" s="67" t="s">
        <v>39</v>
      </c>
      <c r="G15" s="12"/>
      <c r="H15" s="12"/>
      <c r="J15" s="68"/>
      <c r="K15" s="67" t="s">
        <v>39</v>
      </c>
      <c r="L15" s="12"/>
      <c r="M15" s="14"/>
      <c r="N15" s="14"/>
      <c r="O15" s="14"/>
      <c r="P15" s="15"/>
    </row>
    <row r="16" spans="2:16" ht="15.75" thickBot="1" x14ac:dyDescent="0.3">
      <c r="B16" s="9" t="s">
        <v>23</v>
      </c>
      <c r="C16" s="11">
        <f>G8</f>
        <v>0</v>
      </c>
      <c r="D16" s="1">
        <f>+D13*0.02778*C16</f>
        <v>0</v>
      </c>
      <c r="F16" s="11">
        <f>C16-K16</f>
        <v>0</v>
      </c>
      <c r="G16" s="14">
        <f>+G13</f>
        <v>120886.92</v>
      </c>
      <c r="H16" s="12">
        <f>((+D13)*0.02778)*F16</f>
        <v>0</v>
      </c>
      <c r="J16" s="19">
        <v>1</v>
      </c>
      <c r="K16" s="66">
        <f>L8</f>
        <v>0</v>
      </c>
      <c r="L16" s="12">
        <f>+L13</f>
        <v>151108.65</v>
      </c>
      <c r="M16" s="12">
        <f>((+L16)*0.02778)*K16</f>
        <v>0</v>
      </c>
      <c r="N16" s="14"/>
      <c r="O16" s="2">
        <f>+M16+H16</f>
        <v>0</v>
      </c>
      <c r="P16" s="15">
        <f>IF(K16&gt;0,(+(O16-D16)/D16),0)</f>
        <v>0</v>
      </c>
    </row>
    <row r="17" spans="2:16" ht="15.75" thickBot="1" x14ac:dyDescent="0.3">
      <c r="B17" s="9"/>
      <c r="D17" s="14">
        <f>SUM(D13:D16)</f>
        <v>120886.92</v>
      </c>
      <c r="G17" s="26" t="s">
        <v>26</v>
      </c>
      <c r="O17" s="14">
        <f>SUM(O13:O16)</f>
        <v>135997.785</v>
      </c>
      <c r="P17" s="22">
        <f>+(O17-D17)/D17</f>
        <v>0.12500000000000006</v>
      </c>
    </row>
    <row r="18" spans="2:16" ht="5.25" customHeight="1" thickBot="1" x14ac:dyDescent="0.3">
      <c r="B18" s="9"/>
      <c r="D18" s="14"/>
      <c r="O18" s="14"/>
      <c r="P18" s="69"/>
    </row>
    <row r="19" spans="2:16" ht="15.75" thickBot="1" x14ac:dyDescent="0.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52"/>
      <c r="M19" s="53" t="s">
        <v>20</v>
      </c>
      <c r="N19" s="54"/>
      <c r="O19" s="89">
        <f>+O17-D17</f>
        <v>15110.865000000005</v>
      </c>
      <c r="P19" s="18"/>
    </row>
    <row r="21" spans="2:16" x14ac:dyDescent="0.25">
      <c r="B21" s="27" t="s">
        <v>27</v>
      </c>
    </row>
    <row r="22" spans="2:16" s="72" customFormat="1" x14ac:dyDescent="0.25">
      <c r="B22" s="71" t="s">
        <v>136</v>
      </c>
      <c r="K22" s="90"/>
      <c r="L22" s="90"/>
      <c r="M22" s="90"/>
      <c r="O22" s="90"/>
    </row>
    <row r="23" spans="2:16" x14ac:dyDescent="0.25">
      <c r="L23" s="73"/>
      <c r="M23" s="14"/>
    </row>
    <row r="24" spans="2:16" x14ac:dyDescent="0.25">
      <c r="M24" s="14"/>
    </row>
    <row r="25" spans="2:16" ht="24" customHeight="1" x14ac:dyDescent="0.25">
      <c r="B25" t="s">
        <v>2</v>
      </c>
      <c r="C25" s="86">
        <f>D5</f>
        <v>120886.92</v>
      </c>
    </row>
    <row r="26" spans="2:16" ht="24" customHeight="1" x14ac:dyDescent="0.25">
      <c r="B26" t="s">
        <v>42</v>
      </c>
      <c r="C26" s="87">
        <f>O5</f>
        <v>0.5</v>
      </c>
    </row>
    <row r="27" spans="2:16" ht="24" customHeight="1" x14ac:dyDescent="0.25">
      <c r="B27" t="s">
        <v>43</v>
      </c>
      <c r="C27" s="85">
        <f>J5</f>
        <v>0.25</v>
      </c>
    </row>
    <row r="28" spans="2:16" ht="24" customHeight="1" thickBot="1" x14ac:dyDescent="0.3"/>
    <row r="29" spans="2:16" ht="24" customHeight="1" x14ac:dyDescent="0.25">
      <c r="B29" s="76" t="s">
        <v>45</v>
      </c>
      <c r="C29" s="40"/>
    </row>
    <row r="30" spans="2:16" ht="24" customHeight="1" x14ac:dyDescent="0.25">
      <c r="B30" s="9" t="s">
        <v>137</v>
      </c>
      <c r="C30" s="95">
        <f>C26*C25</f>
        <v>60443.46</v>
      </c>
      <c r="D30" t="s">
        <v>89</v>
      </c>
    </row>
    <row r="31" spans="2:16" ht="24" customHeight="1" x14ac:dyDescent="0.25">
      <c r="B31" s="9" t="s">
        <v>90</v>
      </c>
      <c r="C31" s="96">
        <f>C27*C25*C26</f>
        <v>15110.865</v>
      </c>
    </row>
    <row r="32" spans="2:16" ht="24" customHeight="1" x14ac:dyDescent="0.25">
      <c r="B32" s="9"/>
      <c r="C32" s="95"/>
    </row>
    <row r="33" spans="2:7" ht="24" customHeight="1" thickBot="1" x14ac:dyDescent="0.3">
      <c r="B33" s="77" t="s">
        <v>51</v>
      </c>
      <c r="C33" s="97">
        <f>SUM(C30:C31)</f>
        <v>75554.324999999997</v>
      </c>
    </row>
    <row r="34" spans="2:7" ht="24" customHeight="1" thickBot="1" x14ac:dyDescent="0.3">
      <c r="C34" s="75"/>
    </row>
    <row r="35" spans="2:7" ht="24" customHeight="1" x14ac:dyDescent="0.25">
      <c r="B35" s="76" t="s">
        <v>55</v>
      </c>
      <c r="C35" s="78"/>
      <c r="D35" t="s">
        <v>93</v>
      </c>
    </row>
    <row r="36" spans="2:7" ht="24" customHeight="1" x14ac:dyDescent="0.25">
      <c r="B36" s="9" t="s">
        <v>95</v>
      </c>
      <c r="C36" s="82">
        <v>0.15</v>
      </c>
    </row>
    <row r="37" spans="2:7" ht="24" customHeight="1" thickBot="1" x14ac:dyDescent="0.3">
      <c r="B37" s="16" t="s">
        <v>58</v>
      </c>
      <c r="C37" s="98">
        <f>C36*C25</f>
        <v>18133.038</v>
      </c>
    </row>
    <row r="38" spans="2:7" ht="24" customHeight="1" x14ac:dyDescent="0.25">
      <c r="C38" s="99"/>
      <c r="D38" s="26" t="s">
        <v>60</v>
      </c>
    </row>
    <row r="39" spans="2:7" x14ac:dyDescent="0.25">
      <c r="B39" t="s">
        <v>62</v>
      </c>
      <c r="C39" s="14">
        <f>D39*(C33-C37)</f>
        <v>15503.74749</v>
      </c>
      <c r="D39" s="81">
        <v>0.27</v>
      </c>
      <c r="E39" t="s">
        <v>63</v>
      </c>
    </row>
    <row r="40" spans="2:7" x14ac:dyDescent="0.25">
      <c r="B40" t="s">
        <v>64</v>
      </c>
      <c r="C40" s="14">
        <f>D40*(C33-C37+C39)</f>
        <v>41567.269659299993</v>
      </c>
      <c r="D40" s="81">
        <v>0.56999999999999995</v>
      </c>
      <c r="E40" t="s">
        <v>65</v>
      </c>
    </row>
    <row r="41" spans="2:7" ht="24" customHeight="1" x14ac:dyDescent="0.25">
      <c r="C41" s="14"/>
    </row>
    <row r="42" spans="2:7" ht="19.5" customHeight="1" thickBot="1" x14ac:dyDescent="0.3">
      <c r="B42" s="74" t="s">
        <v>67</v>
      </c>
      <c r="C42" s="100">
        <f>(C33-C37)+C39+C40</f>
        <v>114492.30414929998</v>
      </c>
      <c r="D42" t="s">
        <v>68</v>
      </c>
    </row>
    <row r="43" spans="2:7" ht="15.75" thickTop="1" x14ac:dyDescent="0.25"/>
    <row r="44" spans="2:7" x14ac:dyDescent="0.25">
      <c r="B44" s="79" t="s">
        <v>71</v>
      </c>
      <c r="C44" s="80" t="s">
        <v>72</v>
      </c>
      <c r="D44" s="80" t="s">
        <v>73</v>
      </c>
      <c r="E44" s="200"/>
      <c r="F44" s="200"/>
      <c r="G44" s="200"/>
    </row>
    <row r="45" spans="2:7" x14ac:dyDescent="0.25">
      <c r="B45" s="83" t="s">
        <v>99</v>
      </c>
      <c r="C45" s="81">
        <v>1</v>
      </c>
      <c r="D45" s="94">
        <f t="shared" ref="D45:D51" si="0">C45*$C$33</f>
        <v>75554.324999999997</v>
      </c>
      <c r="E45" s="200"/>
      <c r="F45" s="200"/>
      <c r="G45" s="200"/>
    </row>
    <row r="46" spans="2:7" x14ac:dyDescent="0.25">
      <c r="B46" s="83" t="s">
        <v>100</v>
      </c>
      <c r="C46" s="81">
        <v>0</v>
      </c>
      <c r="D46" s="94">
        <f t="shared" si="0"/>
        <v>0</v>
      </c>
      <c r="E46" s="200"/>
      <c r="F46" s="200"/>
      <c r="G46" s="200"/>
    </row>
    <row r="47" spans="2:7" x14ac:dyDescent="0.25">
      <c r="B47" s="83" t="s">
        <v>76</v>
      </c>
      <c r="C47" s="81"/>
      <c r="D47" s="94">
        <f t="shared" si="0"/>
        <v>0</v>
      </c>
      <c r="E47" s="200"/>
      <c r="F47" s="200"/>
      <c r="G47" s="200"/>
    </row>
    <row r="48" spans="2:7" x14ac:dyDescent="0.25">
      <c r="B48" s="83" t="s">
        <v>77</v>
      </c>
      <c r="C48" s="81"/>
      <c r="D48" s="94">
        <f t="shared" si="0"/>
        <v>0</v>
      </c>
      <c r="E48" s="200"/>
      <c r="F48" s="200"/>
      <c r="G48" s="200"/>
    </row>
    <row r="49" spans="2:7" x14ac:dyDescent="0.25">
      <c r="B49" s="83" t="s">
        <v>78</v>
      </c>
      <c r="C49" s="81"/>
      <c r="D49" s="94">
        <f t="shared" si="0"/>
        <v>0</v>
      </c>
      <c r="E49" s="200"/>
      <c r="F49" s="200"/>
      <c r="G49" s="200"/>
    </row>
    <row r="50" spans="2:7" x14ac:dyDescent="0.25">
      <c r="B50" s="83" t="s">
        <v>79</v>
      </c>
      <c r="C50" s="83"/>
      <c r="D50" s="94">
        <f t="shared" si="0"/>
        <v>0</v>
      </c>
      <c r="E50" s="200"/>
      <c r="F50" s="200"/>
      <c r="G50" s="200"/>
    </row>
    <row r="51" spans="2:7" x14ac:dyDescent="0.25">
      <c r="B51" s="83" t="s">
        <v>80</v>
      </c>
      <c r="C51" s="83"/>
      <c r="D51" s="94">
        <f t="shared" si="0"/>
        <v>0</v>
      </c>
    </row>
    <row r="52" spans="2:7" ht="15.75" thickBot="1" x14ac:dyDescent="0.3"/>
    <row r="53" spans="2:7" ht="15.75" thickBot="1" x14ac:dyDescent="0.3">
      <c r="B53" s="91" t="s">
        <v>81</v>
      </c>
      <c r="C53" s="92">
        <f>C30-C37</f>
        <v>42310.421999999999</v>
      </c>
    </row>
  </sheetData>
  <protectedRanges>
    <protectedRange sqref="B9:G9 Q9:XFD9 B4:B8 C3:XFD7 N8:XFD8 E8:F8" name="Parameters"/>
    <protectedRange sqref="H9:P9" name="Parameters_1"/>
    <protectedRange sqref="B3" name="Parameters_2"/>
    <protectedRange sqref="K8:L8 G8:I8" name="Parameters_3"/>
    <protectedRange sqref="C36 D39:D40 B45:C51 D5 J5 O5 G8 L8" name="Range5"/>
  </protectedRanges>
  <mergeCells count="11">
    <mergeCell ref="E50:G50"/>
    <mergeCell ref="E45:G45"/>
    <mergeCell ref="E46:G46"/>
    <mergeCell ref="E47:G47"/>
    <mergeCell ref="E48:G48"/>
    <mergeCell ref="E49:G49"/>
    <mergeCell ref="B1:P1"/>
    <mergeCell ref="C11:D11"/>
    <mergeCell ref="F11:H11"/>
    <mergeCell ref="J11:M11"/>
    <mergeCell ref="E44:G44"/>
  </mergeCells>
  <printOptions horizontalCentered="1"/>
  <pageMargins left="0.45" right="0.45" top="0.5" bottom="0.5" header="0.3" footer="0.3"/>
  <pageSetup scale="5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FE0F09-6DB0-4E1D-9CCC-358173A6E70A}">
          <x14:formula1>
            <xm:f>Lists!$C$2:$C$12</xm:f>
          </x14:formula1>
          <xm:sqref>O5</xm:sqref>
        </x14:dataValidation>
        <x14:dataValidation type="list" allowBlank="1" showInputMessage="1" showErrorMessage="1" xr:uid="{C3B0E5E6-A700-4423-99F5-79A023FE0132}">
          <x14:formula1>
            <xm:f>Lists!$A$2:$A$5</xm:f>
          </x14:formula1>
          <xm:sqref>J5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2AF1-7749-4BAD-A82E-3C08871DCBE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AEF91418DF1244826008F994046AD7" ma:contentTypeVersion="4" ma:contentTypeDescription="Create a new document." ma:contentTypeScope="" ma:versionID="494ba74e193fdd45876f073b736d1bb5">
  <xsd:schema xmlns:xsd="http://www.w3.org/2001/XMLSchema" xmlns:xs="http://www.w3.org/2001/XMLSchema" xmlns:p="http://schemas.microsoft.com/office/2006/metadata/properties" xmlns:ns2="59967751-6d4e-4cf9-97fe-7d3ff8c3877b" targetNamespace="http://schemas.microsoft.com/office/2006/metadata/properties" ma:root="true" ma:fieldsID="f77925911271f258987cc8757920072f" ns2:_="">
    <xsd:import namespace="59967751-6d4e-4cf9-97fe-7d3ff8c387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67751-6d4e-4cf9-97fe-7d3ff8c387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7 5 o 6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7 5 o 6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+ a O l g o i k e 4 D g A A A B E A A A A T A B w A R m 9 y b X V s Y X M v U 2 V j d G l v b j E u b S C i G A A o o B Q A A A A A A A A A A A A A A A A A A A A A A A A A A A A r T k 0 u y c z P U w i G 0 I b W A F B L A Q I t A B Q A A g A I A O + a O l j 0 d A 9 2 p A A A A P Y A A A A S A A A A A A A A A A A A A A A A A A A A A A B D b 2 5 m a W c v U G F j a 2 F n Z S 5 4 b W x Q S w E C L Q A U A A I A C A D v m j p Y D 8 r p q 6 Q A A A D p A A A A E w A A A A A A A A A A A A A A A A D w A A A A W 0 N v b n R l b n R f V H l w Z X N d L n h t b F B L A Q I t A B Q A A g A I A O + a O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E 6 F 5 K U P k L T a Z w W G o w 9 J M v A A A A A A I A A A A A A A N m A A D A A A A A E A A A A L 6 C N r O I b E / j 9 / O I i y p D J e s A A A A A B I A A A K A A A A A Q A A A A O v Y A s E Q q 9 5 E y x z 5 U P 1 + A w V A A A A C E 5 J I 1 p Y + m f R e y I 0 B 9 8 B x n 3 l 5 f F Z l d l t X a m S q W U t Y i m F 1 E R W 8 l o 2 U u F F V 4 u l 3 T 6 b B 1 c j p z K S a J R L c T v 9 N r o A H h 7 g T t + W 9 5 g y S I 2 D s R w s W L k h Q A A A A S P O B b e Q 6 z K o B k b k L C / q y 2 h 8 h / a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E22796-4C80-4F7F-8197-D935A47FF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967751-6d4e-4cf9-97fe-7d3ff8c38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05D181-0159-4734-A0F4-83EDA3C5B28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961BFE0-ED4A-4B38-AFB9-6434FC3E97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E130B10-F726-4136-8ABE-A97E117D6A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Original</vt:lpstr>
      <vt:lpstr>NIH AY FERAP Tool</vt:lpstr>
      <vt:lpstr>NIH FY FERAP Tool</vt:lpstr>
      <vt:lpstr>NIH Tool</vt:lpstr>
      <vt:lpstr>NIH Salary Cap Updated</vt:lpstr>
      <vt:lpstr>FY</vt:lpstr>
      <vt:lpstr>AY_Option 1</vt:lpstr>
      <vt:lpstr>AY</vt:lpstr>
      <vt:lpstr>Notes</vt:lpstr>
      <vt:lpstr>NIH Salary Cap Original</vt:lpstr>
      <vt:lpstr>Lists</vt:lpstr>
      <vt:lpstr>AY!Print_Area</vt:lpstr>
      <vt:lpstr>'AY_Option 1'!Print_Area</vt:lpstr>
      <vt:lpstr>FY!Print_Area</vt:lpstr>
      <vt:lpstr>'NIH FY FERAP Tool'!Print_Area</vt:lpstr>
      <vt:lpstr>Original!Print_Area</vt:lpstr>
    </vt:vector>
  </TitlesOfParts>
  <Manager/>
  <Company>Purdue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Sandel, Ken L.</dc:creator>
  <cp:keywords/>
  <dc:description/>
  <cp:lastModifiedBy>Melissa Guinn</cp:lastModifiedBy>
  <cp:revision/>
  <cp:lastPrinted>2025-02-18T01:37:36Z</cp:lastPrinted>
  <dcterms:created xsi:type="dcterms:W3CDTF">2023-02-18T21:04:45Z</dcterms:created>
  <dcterms:modified xsi:type="dcterms:W3CDTF">2026-03-05T14:30:15Z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2023-05-04T16:40:26Z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c905fa6c-b094-4b13-8f17-22554ea1b11d</vt:lpwstr>
  </property>
  <property fmtid="{D5CDD505-2E9C-101B-9397-08002B2CF9AE}" pid="8" name="MSIP_Label_4044bd30-2ed7-4c9d-9d12-46200872a97b_ContentBits">
    <vt:lpwstr>0</vt:lpwstr>
  </property>
  <property fmtid="{D5CDD505-2E9C-101B-9397-08002B2CF9AE}" pid="9" name="ContentTypeId">
    <vt:lpwstr>0x01010011AEF91418DF1244826008F994046AD7</vt:lpwstr>
  </property>
</Properties>
</file>