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W:\12 FERAP\FY27\"/>
    </mc:Choice>
  </mc:AlternateContent>
  <xr:revisionPtr revIDLastSave="0" documentId="13_ncr:1_{42F8D35D-F04B-44EF-A9FF-76549A626B0D}" xr6:coauthVersionLast="47" xr6:coauthVersionMax="47" xr10:uidLastSave="{00000000-0000-0000-0000-000000000000}"/>
  <bookViews>
    <workbookView xWindow="-120" yWindow="-120" windowWidth="29040" windowHeight="15720" firstSheet="1" activeTab="1" xr2:uid="{6990974F-7DE2-44A2-9A23-27687988A875}"/>
  </bookViews>
  <sheets>
    <sheet name="Original" sheetId="4" state="hidden" r:id="rId1"/>
    <sheet name="AY" sheetId="6" r:id="rId2"/>
    <sheet name="FY" sheetId="3" r:id="rId3"/>
    <sheet name="AY_Option 1" sheetId="1" state="hidden" r:id="rId4"/>
    <sheet name="Lists" sheetId="2" state="hidden" r:id="rId5"/>
  </sheets>
  <definedNames>
    <definedName name="_xlnm.Print_Area" localSheetId="1">AY!$B$1:$R$19</definedName>
    <definedName name="_xlnm.Print_Area" localSheetId="3">'AY_Option 1'!$B$1:$R$26</definedName>
    <definedName name="_xlnm.Print_Area" localSheetId="2">FY!$B$1:$R$26</definedName>
    <definedName name="_xlnm.Print_Area" localSheetId="0">Original!$A$1:$Q$26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6" i="6" l="1"/>
  <c r="K13" i="6"/>
  <c r="J13" i="6"/>
  <c r="F13" i="6" s="1"/>
  <c r="D13" i="6"/>
  <c r="J10" i="4"/>
  <c r="K10" i="4" s="1"/>
  <c r="L10" i="4" s="1"/>
  <c r="N10" i="4" s="1"/>
  <c r="N11" i="4" s="1"/>
  <c r="G10" i="4"/>
  <c r="F10" i="4"/>
  <c r="D10" i="3"/>
  <c r="C16" i="6"/>
  <c r="K23" i="1"/>
  <c r="C23" i="1"/>
  <c r="K13" i="1"/>
  <c r="J13" i="1"/>
  <c r="J20" i="4"/>
  <c r="I20" i="4"/>
  <c r="C20" i="4"/>
  <c r="G21" i="4" s="1"/>
  <c r="J17" i="4"/>
  <c r="C17" i="4"/>
  <c r="J16" i="4"/>
  <c r="I16" i="4"/>
  <c r="F16" i="4"/>
  <c r="G16" i="4" s="1"/>
  <c r="E16" i="4"/>
  <c r="C16" i="4"/>
  <c r="C18" i="4" s="1"/>
  <c r="J13" i="4"/>
  <c r="K13" i="4" s="1"/>
  <c r="I13" i="4"/>
  <c r="C13" i="4"/>
  <c r="F13" i="4" s="1"/>
  <c r="I10" i="4"/>
  <c r="E10" i="4"/>
  <c r="E13" i="4" s="1"/>
  <c r="C10" i="4"/>
  <c r="F16" i="6" l="1"/>
  <c r="H16" i="6" s="1"/>
  <c r="L13" i="6"/>
  <c r="M13" i="6" s="1"/>
  <c r="G13" i="6"/>
  <c r="H13" i="6" s="1"/>
  <c r="F23" i="1"/>
  <c r="K17" i="4"/>
  <c r="L17" i="4" s="1"/>
  <c r="N17" i="4" s="1"/>
  <c r="O17" i="4" s="1"/>
  <c r="D16" i="6"/>
  <c r="D17" i="6" s="1"/>
  <c r="L13" i="4"/>
  <c r="G13" i="4"/>
  <c r="K20" i="4"/>
  <c r="E20" i="4"/>
  <c r="C22" i="4"/>
  <c r="K16" i="4"/>
  <c r="L16" i="4" s="1"/>
  <c r="N16" i="4" s="1"/>
  <c r="F20" i="4"/>
  <c r="C21" i="4"/>
  <c r="L16" i="6" l="1"/>
  <c r="M16" i="6" s="1"/>
  <c r="O13" i="6"/>
  <c r="O16" i="6"/>
  <c r="P16" i="6" s="1"/>
  <c r="N13" i="4"/>
  <c r="G16" i="6"/>
  <c r="O16" i="4"/>
  <c r="N18" i="4"/>
  <c r="L20" i="4"/>
  <c r="L21" i="4"/>
  <c r="N21" i="4" s="1"/>
  <c r="O21" i="4" s="1"/>
  <c r="K21" i="4"/>
  <c r="N14" i="4"/>
  <c r="O13" i="4"/>
  <c r="O10" i="4"/>
  <c r="F21" i="4"/>
  <c r="G20" i="4"/>
  <c r="N20" i="4" l="1"/>
  <c r="N22" i="4" s="1"/>
  <c r="O17" i="6"/>
  <c r="P13" i="6"/>
  <c r="N19" i="4"/>
  <c r="O18" i="4"/>
  <c r="O20" i="4" l="1"/>
  <c r="O19" i="6"/>
  <c r="P17" i="6"/>
  <c r="N23" i="4"/>
  <c r="O22" i="4"/>
  <c r="D20" i="1" l="1"/>
  <c r="H23" i="1" s="1"/>
  <c r="J20" i="1"/>
  <c r="F20" i="1" s="1"/>
  <c r="K20" i="1"/>
  <c r="D13" i="1"/>
  <c r="F13" i="1"/>
  <c r="K10" i="3"/>
  <c r="L10" i="3" s="1"/>
  <c r="J10" i="3"/>
  <c r="F10" i="3" s="1"/>
  <c r="M10" i="3" l="1"/>
  <c r="D23" i="1"/>
  <c r="D24" i="1" s="1"/>
  <c r="G13" i="1"/>
  <c r="H13" i="1" s="1"/>
  <c r="L13" i="1"/>
  <c r="M13" i="1" s="1"/>
  <c r="G20" i="1"/>
  <c r="G23" i="1" s="1"/>
  <c r="L20" i="1"/>
  <c r="L23" i="1" s="1"/>
  <c r="M23" i="1" s="1"/>
  <c r="O23" i="1" s="1"/>
  <c r="P23" i="1" s="1"/>
  <c r="G10" i="3"/>
  <c r="H10" i="3" s="1"/>
  <c r="O10" i="3" l="1"/>
  <c r="O12" i="3" s="1"/>
  <c r="H20" i="1"/>
  <c r="M20" i="1"/>
  <c r="O13" i="1"/>
  <c r="O15" i="1" s="1"/>
  <c r="P10" i="3" l="1"/>
  <c r="O20" i="1"/>
  <c r="P13" i="1"/>
  <c r="P20" i="1" l="1"/>
  <c r="O24" i="1"/>
  <c r="O26" i="1" s="1"/>
  <c r="P2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Guinn, Melissa J.</author>
  </authors>
  <commentList>
    <comment ref="D5" authorId="0" shapeId="0" xr:uid="{4E97C49F-3907-42FA-8338-45CACDE5599E}">
      <text>
        <r>
          <rPr>
            <b/>
            <sz val="9"/>
            <color indexed="81"/>
            <rFont val="Tahoma"/>
            <family val="2"/>
          </rPr>
          <t>Enter AY Salary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5" authorId="0" shapeId="0" xr:uid="{65B1113A-CD44-40C7-BDF7-19562962BF2B}">
      <text>
        <r>
          <rPr>
            <b/>
            <sz val="9"/>
            <color indexed="81"/>
            <rFont val="Tahoma"/>
            <family val="2"/>
          </rPr>
          <t>Enter Salary Enhancement Percentage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5" authorId="0" shapeId="0" xr:uid="{F1B4FFA0-3C9D-4526-902B-6C36CAC9197D}">
      <text>
        <r>
          <rPr>
            <b/>
            <sz val="9"/>
            <color indexed="81"/>
            <rFont val="Tahoma"/>
            <family val="2"/>
          </rPr>
          <t>Enter FERAP Appointment FTE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8" authorId="0" shapeId="0" xr:uid="{B1FC63B8-AC2E-468C-A393-6ADBFAE6B04F}">
      <text>
        <r>
          <rPr>
            <b/>
            <sz val="9"/>
            <color indexed="81"/>
            <rFont val="Tahoma"/>
            <family val="2"/>
          </rPr>
          <t>Total summer weeks requested
(from enhanced and un-enhanced appointments)</t>
        </r>
      </text>
    </comment>
    <comment ref="L8" authorId="0" shapeId="0" xr:uid="{223E0636-1558-4F5D-9275-093B5C6B4BB7}">
      <text>
        <r>
          <rPr>
            <b/>
            <sz val="9"/>
            <color indexed="81"/>
            <rFont val="Tahoma"/>
            <family val="2"/>
          </rPr>
          <t>Summer weeks from enhanced appointment only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Guinn, Melissa J.</author>
  </authors>
  <commentList>
    <comment ref="D5" authorId="0" shapeId="0" xr:uid="{B32A8CF1-611D-456F-A1A2-2FC43CD9981C}">
      <text>
        <r>
          <rPr>
            <b/>
            <sz val="9"/>
            <color indexed="81"/>
            <rFont val="Tahoma"/>
            <family val="2"/>
          </rPr>
          <t xml:space="preserve">Enter FY Salary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5" authorId="0" shapeId="0" xr:uid="{EC9F8DF4-B81A-46A1-A175-9853EB0B5A8B}">
      <text>
        <r>
          <rPr>
            <b/>
            <sz val="9"/>
            <color indexed="81"/>
            <rFont val="Tahoma"/>
            <family val="2"/>
          </rPr>
          <t>Enter Salary Enhancement Percentage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5" authorId="0" shapeId="0" xr:uid="{49350E19-D14F-43C7-8F27-38C36406AEDA}">
      <text>
        <r>
          <rPr>
            <b/>
            <sz val="9"/>
            <color indexed="81"/>
            <rFont val="Tahoma"/>
            <family val="2"/>
          </rPr>
          <t>Enter FERAP Appointment FTE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Guinn, Melissa J.</author>
  </authors>
  <commentList>
    <comment ref="G8" authorId="0" shapeId="0" xr:uid="{203E3432-89EB-4C2A-8A2A-19C1FA465BF9}">
      <text>
        <r>
          <rPr>
            <b/>
            <sz val="9"/>
            <color indexed="81"/>
            <rFont val="Tahoma"/>
            <family val="2"/>
          </rPr>
          <t>Total summer weeks requested
(from enhanced and un-enhanced funding)</t>
        </r>
      </text>
    </comment>
    <comment ref="L8" authorId="0" shapeId="0" xr:uid="{4E1D40C4-439A-4613-A956-1362537A4A5E}">
      <text>
        <r>
          <rPr>
            <b/>
            <sz val="9"/>
            <color indexed="81"/>
            <rFont val="Tahoma"/>
            <family val="2"/>
          </rPr>
          <t>Summer weeks from enhanced funding only</t>
        </r>
      </text>
    </comment>
  </commentList>
</comments>
</file>

<file path=xl/sharedStrings.xml><?xml version="1.0" encoding="utf-8"?>
<sst xmlns="http://schemas.openxmlformats.org/spreadsheetml/2006/main" count="170" uniqueCount="53">
  <si>
    <t>FTE</t>
  </si>
  <si>
    <t>Earnings</t>
  </si>
  <si>
    <t>Fiscal Year</t>
  </si>
  <si>
    <t>Academic Year</t>
  </si>
  <si>
    <t>Summer Salary</t>
  </si>
  <si>
    <t>10 Weeks</t>
  </si>
  <si>
    <t>Current</t>
  </si>
  <si>
    <t>Additional Compensation</t>
  </si>
  <si>
    <t>AY Salary</t>
  </si>
  <si>
    <t>Conversion rate and Summer Pay - https://www.purdue.edu/hr/paytimepractices/comppay/aypaypr.php</t>
  </si>
  <si>
    <t>NIH Salary Cap - $212,100 - https://grants.nih.gov/grants/policy/salcap_summary.htm</t>
  </si>
  <si>
    <t>5 weeks</t>
  </si>
  <si>
    <t>Enhanced Base Salary Component</t>
  </si>
  <si>
    <t>Enhanced Base Salary %</t>
  </si>
  <si>
    <t>Overall Total Salary</t>
  </si>
  <si>
    <t>Full-Time     Base Salary</t>
  </si>
  <si>
    <t>Full-Time 
Base Salary</t>
  </si>
  <si>
    <t>Full-Time Enhanced Base Salary</t>
  </si>
  <si>
    <t>Base Salary</t>
  </si>
  <si>
    <t>Enhanced Base Salary</t>
  </si>
  <si>
    <t>Enhanced FTE</t>
  </si>
  <si>
    <t>10%-25%</t>
  </si>
  <si>
    <t>Base FTE</t>
  </si>
  <si>
    <t>0.25 to 0.75</t>
  </si>
  <si>
    <t>No Summer</t>
  </si>
  <si>
    <t>Enter your Base Salary, Enhanced Salary % and Enhanced FTE Parameters below to calculate your additional compensation.</t>
  </si>
  <si>
    <t>Allowable range</t>
  </si>
  <si>
    <t>=</t>
  </si>
  <si>
    <t>FY Salary</t>
  </si>
  <si>
    <t>in 5% increments</t>
  </si>
  <si>
    <t>in 0.05 increments</t>
  </si>
  <si>
    <t>Full-time Summer Weeks on Enhanced Base Salary</t>
  </si>
  <si>
    <t>Total Full-time Summer Weeks</t>
  </si>
  <si>
    <t>FBSEP</t>
  </si>
  <si>
    <t>Academic Year 
No Summer</t>
  </si>
  <si>
    <t>Academic Year 
With Summer</t>
  </si>
  <si>
    <t>Weeks</t>
  </si>
  <si>
    <t>Select</t>
  </si>
  <si>
    <t>Enter your FY Base Salary, Enhanced Salary % and Enhanced FTE Parameters below to calculate your additional compensation.</t>
  </si>
  <si>
    <t>Enter your AY Base Salary, Enhanced Salary %, Enhanced FTE Parameters, and estimated summer weeks below to calculate your additional compensation.</t>
  </si>
  <si>
    <t>(SS-teaching or non-reseach duties)</t>
  </si>
  <si>
    <t>Base Appointment Salary</t>
  </si>
  <si>
    <t>Enhanced Appointment Base Salary</t>
  </si>
  <si>
    <t>Base Apointment Salary</t>
  </si>
  <si>
    <t>Enhanced Apointment Base Salary</t>
  </si>
  <si>
    <t>Enhanced Faculty FTE</t>
  </si>
  <si>
    <t>Tenured and Tenure-Track Faculty Enhanced Research Appointment Program (Academic Year Appointments)</t>
  </si>
  <si>
    <t>Tenured and Tenure-Track Faculty Enhanced Research Appointment Program (Fiscal Year Appointments)</t>
  </si>
  <si>
    <t>Tenured and Tenure-Track Faculty Enhanced Research Appointment Program</t>
  </si>
  <si>
    <t>(Maximum 13 weeks)</t>
  </si>
  <si>
    <t>NIH Salary Cap AY - $159,075 - https://grants.nih.gov/grants/policy/salcap_summary.htm</t>
  </si>
  <si>
    <t>2026 NIH Salary Cap AY - $171,000 - https://grants.nih.gov/grants/policy/salcap_summary.htm</t>
  </si>
  <si>
    <t>2026 NIH Salary Cap FY - $228,000 - https://grants.nih.gov/grants/policy/salcap_summary.htm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</si>
</sst>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434547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rgb="FF434547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name val="Calibri"/>
      <family val="2"/>
      <scheme val="minor"/>
    </font>
    <font>
      <sz val="11"/>
      <name val="Calibri"/>
      <family val="2"/>
      <scheme val="minor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77">
    <xf numFmtId="0" fontId="0" fillId="0" borderId="0" xfId="0"/>
    <xf numFmtId="164" fontId="0" fillId="0" borderId="1" xfId="1" applyNumberFormat="1" applyFont="1" applyBorder="1"/>
    <xf numFmtId="164" fontId="0" fillId="0" borderId="1" xfId="0" applyNumberFormat="1" applyBorder="1"/>
    <xf numFmtId="0" fontId="0" fillId="0" borderId="3" xfId="0" applyBorder="1"/>
    <xf numFmtId="2" fontId="0" fillId="0" borderId="4" xfId="0" applyNumberFormat="1" applyBorder="1"/>
    <xf numFmtId="164" fontId="0" fillId="0" borderId="4" xfId="1" applyNumberFormat="1" applyFont="1" applyBorder="1"/>
    <xf numFmtId="0" fontId="0" fillId="0" borderId="4" xfId="0" applyBorder="1"/>
    <xf numFmtId="9" fontId="0" fillId="0" borderId="4" xfId="2" applyFont="1" applyBorder="1"/>
    <xf numFmtId="164" fontId="0" fillId="0" borderId="4" xfId="0" applyNumberFormat="1" applyBorder="1"/>
    <xf numFmtId="0" fontId="0" fillId="0" borderId="5" xfId="0" applyBorder="1"/>
    <xf numFmtId="0" fontId="0" fillId="0" borderId="6" xfId="0" applyBorder="1"/>
    <xf numFmtId="2" fontId="0" fillId="0" borderId="0" xfId="0" applyNumberFormat="1"/>
    <xf numFmtId="164" fontId="0" fillId="0" borderId="0" xfId="1" applyNumberFormat="1" applyFont="1" applyBorder="1"/>
    <xf numFmtId="9" fontId="0" fillId="0" borderId="0" xfId="2" applyFont="1" applyBorder="1"/>
    <xf numFmtId="164" fontId="0" fillId="0" borderId="0" xfId="0" applyNumberFormat="1"/>
    <xf numFmtId="9" fontId="0" fillId="0" borderId="6" xfId="2" applyFont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2" fontId="0" fillId="0" borderId="2" xfId="0" applyNumberFormat="1" applyBorder="1"/>
    <xf numFmtId="2" fontId="0" fillId="0" borderId="10" xfId="0" applyNumberFormat="1" applyBorder="1"/>
    <xf numFmtId="2" fontId="0" fillId="0" borderId="11" xfId="0" applyNumberFormat="1" applyBorder="1"/>
    <xf numFmtId="9" fontId="0" fillId="0" borderId="2" xfId="2" applyFont="1" applyBorder="1"/>
    <xf numFmtId="0" fontId="0" fillId="0" borderId="0" xfId="0" applyAlignment="1">
      <alignment horizontal="right"/>
    </xf>
    <xf numFmtId="0" fontId="0" fillId="0" borderId="8" xfId="0" applyBorder="1" applyAlignment="1">
      <alignment horizontal="right"/>
    </xf>
    <xf numFmtId="164" fontId="0" fillId="0" borderId="2" xfId="0" applyNumberFormat="1" applyBorder="1"/>
    <xf numFmtId="0" fontId="0" fillId="0" borderId="0" xfId="0" applyAlignment="1">
      <alignment horizontal="center"/>
    </xf>
    <xf numFmtId="0" fontId="4" fillId="0" borderId="0" xfId="0" applyFont="1"/>
    <xf numFmtId="164" fontId="0" fillId="0" borderId="0" xfId="1" applyNumberFormat="1" applyFont="1" applyBorder="1" applyAlignment="1">
      <alignment horizontal="center"/>
    </xf>
    <xf numFmtId="0" fontId="0" fillId="0" borderId="0" xfId="0" applyAlignment="1">
      <alignment wrapText="1"/>
    </xf>
    <xf numFmtId="9" fontId="0" fillId="0" borderId="0" xfId="2" applyFont="1" applyBorder="1" applyAlignment="1">
      <alignment horizontal="center"/>
    </xf>
    <xf numFmtId="0" fontId="2" fillId="0" borderId="4" xfId="0" applyFont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3" fillId="0" borderId="0" xfId="0" applyFont="1" applyAlignment="1">
      <alignment horizontal="center"/>
    </xf>
    <xf numFmtId="164" fontId="2" fillId="2" borderId="2" xfId="1" applyNumberFormat="1" applyFont="1" applyFill="1" applyBorder="1"/>
    <xf numFmtId="9" fontId="2" fillId="2" borderId="2" xfId="2" applyFont="1" applyFill="1" applyBorder="1" applyAlignment="1">
      <alignment horizontal="center"/>
    </xf>
    <xf numFmtId="2" fontId="2" fillId="2" borderId="2" xfId="2" applyNumberFormat="1" applyFont="1" applyFill="1" applyBorder="1" applyAlignment="1">
      <alignment horizontal="center"/>
    </xf>
    <xf numFmtId="0" fontId="3" fillId="0" borderId="3" xfId="0" applyFont="1" applyBorder="1" applyAlignment="1">
      <alignment horizontal="left"/>
    </xf>
    <xf numFmtId="0" fontId="0" fillId="0" borderId="12" xfId="0" applyBorder="1"/>
    <xf numFmtId="0" fontId="3" fillId="0" borderId="5" xfId="0" applyFont="1" applyBorder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0" fillId="0" borderId="8" xfId="0" applyBorder="1" applyAlignment="1">
      <alignment horizontal="center"/>
    </xf>
    <xf numFmtId="9" fontId="0" fillId="0" borderId="0" xfId="2" applyFont="1"/>
    <xf numFmtId="9" fontId="0" fillId="0" borderId="8" xfId="2" applyFont="1" applyBorder="1"/>
    <xf numFmtId="164" fontId="0" fillId="3" borderId="2" xfId="0" applyNumberFormat="1" applyFill="1" applyBorder="1"/>
    <xf numFmtId="0" fontId="4" fillId="0" borderId="8" xfId="0" applyFont="1" applyBorder="1"/>
    <xf numFmtId="0" fontId="4" fillId="0" borderId="8" xfId="0" applyFont="1" applyBorder="1" applyAlignment="1">
      <alignment horizontal="center"/>
    </xf>
    <xf numFmtId="0" fontId="4" fillId="0" borderId="8" xfId="0" applyFont="1" applyBorder="1" applyAlignment="1">
      <alignment horizontal="right"/>
    </xf>
    <xf numFmtId="0" fontId="4" fillId="0" borderId="9" xfId="0" applyFont="1" applyBorder="1"/>
    <xf numFmtId="0" fontId="0" fillId="3" borderId="13" xfId="0" applyFill="1" applyBorder="1"/>
    <xf numFmtId="0" fontId="0" fillId="3" borderId="14" xfId="0" applyFill="1" applyBorder="1" applyAlignment="1">
      <alignment horizontal="right"/>
    </xf>
    <xf numFmtId="0" fontId="0" fillId="3" borderId="14" xfId="0" applyFill="1" applyBorder="1"/>
    <xf numFmtId="0" fontId="5" fillId="0" borderId="3" xfId="0" applyFont="1" applyBorder="1" applyAlignment="1">
      <alignment horizontal="left"/>
    </xf>
    <xf numFmtId="0" fontId="6" fillId="0" borderId="0" xfId="0" applyFont="1" applyAlignment="1">
      <alignment horizontal="right"/>
    </xf>
    <xf numFmtId="0" fontId="4" fillId="0" borderId="6" xfId="0" applyFont="1" applyBorder="1"/>
    <xf numFmtId="0" fontId="4" fillId="0" borderId="0" xfId="0" applyFont="1" applyAlignment="1">
      <alignment horizontal="right"/>
    </xf>
    <xf numFmtId="9" fontId="4" fillId="0" borderId="4" xfId="2" applyFont="1" applyFill="1" applyBorder="1" applyAlignment="1">
      <alignment horizontal="center"/>
    </xf>
    <xf numFmtId="2" fontId="4" fillId="0" borderId="4" xfId="2" applyNumberFormat="1" applyFont="1" applyFill="1" applyBorder="1" applyAlignment="1">
      <alignment horizontal="center"/>
    </xf>
    <xf numFmtId="164" fontId="2" fillId="0" borderId="4" xfId="1" applyNumberFormat="1" applyFont="1" applyFill="1" applyBorder="1"/>
    <xf numFmtId="164" fontId="2" fillId="0" borderId="0" xfId="1" applyNumberFormat="1" applyFont="1" applyFill="1" applyBorder="1"/>
    <xf numFmtId="9" fontId="4" fillId="0" borderId="0" xfId="2" applyFont="1" applyFill="1" applyBorder="1" applyAlignment="1">
      <alignment horizontal="center"/>
    </xf>
    <xf numFmtId="2" fontId="4" fillId="0" borderId="0" xfId="2" applyNumberFormat="1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 vertical="center" wrapText="1"/>
    </xf>
    <xf numFmtId="43" fontId="0" fillId="0" borderId="0" xfId="3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2" fontId="0" fillId="0" borderId="8" xfId="0" applyNumberFormat="1" applyBorder="1"/>
    <xf numFmtId="9" fontId="0" fillId="0" borderId="9" xfId="2" applyFont="1" applyBorder="1"/>
    <xf numFmtId="0" fontId="2" fillId="0" borderId="6" xfId="0" applyFont="1" applyBorder="1"/>
    <xf numFmtId="0" fontId="8" fillId="0" borderId="0" xfId="0" applyFont="1"/>
    <xf numFmtId="0" fontId="9" fillId="0" borderId="0" xfId="0" applyFont="1"/>
    <xf numFmtId="0" fontId="3" fillId="0" borderId="0" xfId="0" applyFont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4" xfId="0" applyFont="1" applyBorder="1" applyAlignment="1">
      <alignment horizontal="center"/>
    </xf>
  </cellXfs>
  <cellStyles count="4">
    <cellStyle name="Comma" xfId="3" builtinId="3"/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FEAA15-1190-462B-BC7E-7D4B5C9005D2}">
  <sheetPr>
    <pageSetUpPr fitToPage="1"/>
  </sheetPr>
  <dimension ref="A1:O29"/>
  <sheetViews>
    <sheetView zoomScale="110" workbookViewId="0">
      <selection activeCell="G26" sqref="G26"/>
    </sheetView>
  </sheetViews>
  <sheetFormatPr defaultRowHeight="15" x14ac:dyDescent="0.25"/>
  <cols>
    <col min="1" max="1" width="15" customWidth="1"/>
    <col min="3" max="3" width="14.28515625" bestFit="1" customWidth="1"/>
    <col min="4" max="4" width="2.85546875" customWidth="1"/>
    <col min="5" max="5" width="8.140625" customWidth="1"/>
    <col min="6" max="7" width="14.28515625" customWidth="1"/>
    <col min="8" max="8" width="2.7109375" customWidth="1"/>
    <col min="9" max="9" width="11.5703125" customWidth="1"/>
    <col min="10" max="10" width="14.85546875" customWidth="1"/>
    <col min="11" max="11" width="15.7109375" customWidth="1"/>
    <col min="12" max="12" width="9.7109375" bestFit="1" customWidth="1"/>
    <col min="13" max="13" width="2.28515625" customWidth="1"/>
    <col min="14" max="14" width="10" bestFit="1" customWidth="1"/>
    <col min="16" max="16" width="2.5703125" customWidth="1"/>
    <col min="17" max="17" width="10" bestFit="1" customWidth="1"/>
  </cols>
  <sheetData>
    <row r="1" spans="1:15" ht="21" x14ac:dyDescent="0.35">
      <c r="A1" s="73" t="s">
        <v>48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</row>
    <row r="2" spans="1:15" ht="21.75" thickBot="1" x14ac:dyDescent="0.4"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</row>
    <row r="3" spans="1:15" ht="21" x14ac:dyDescent="0.35">
      <c r="A3" s="39" t="s">
        <v>25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40"/>
    </row>
    <row r="4" spans="1:15" ht="8.25" customHeight="1" thickBot="1" x14ac:dyDescent="0.4">
      <c r="A4" s="41"/>
      <c r="O4" s="10"/>
    </row>
    <row r="5" spans="1:15" ht="15.75" thickBot="1" x14ac:dyDescent="0.3">
      <c r="A5" s="9"/>
      <c r="B5" s="42" t="s">
        <v>8</v>
      </c>
      <c r="C5" s="36">
        <v>200000</v>
      </c>
      <c r="D5" s="42"/>
      <c r="E5" s="42"/>
      <c r="F5" s="42"/>
      <c r="G5" s="43" t="s">
        <v>12</v>
      </c>
      <c r="H5" s="42"/>
      <c r="I5" s="37">
        <v>0.2</v>
      </c>
      <c r="J5" s="42"/>
      <c r="L5" s="43" t="s">
        <v>20</v>
      </c>
      <c r="M5" s="42"/>
      <c r="N5" s="38">
        <v>0.25</v>
      </c>
      <c r="O5" s="10"/>
    </row>
    <row r="6" spans="1:15" ht="15.75" thickBot="1" x14ac:dyDescent="0.3">
      <c r="A6" s="16"/>
      <c r="B6" s="17"/>
      <c r="C6" s="17"/>
      <c r="D6" s="17"/>
      <c r="E6" s="17"/>
      <c r="F6" s="17"/>
      <c r="G6" s="17"/>
      <c r="H6" s="17"/>
      <c r="I6" s="44" t="s">
        <v>21</v>
      </c>
      <c r="J6" s="17"/>
      <c r="K6" s="17"/>
      <c r="L6" s="17"/>
      <c r="M6" s="17"/>
      <c r="N6" s="44" t="s">
        <v>23</v>
      </c>
      <c r="O6" s="18"/>
    </row>
    <row r="7" spans="1:15" ht="15.75" thickBot="1" x14ac:dyDescent="0.3">
      <c r="I7" s="26"/>
      <c r="N7" s="26"/>
    </row>
    <row r="8" spans="1:15" ht="15.75" thickBot="1" x14ac:dyDescent="0.3">
      <c r="B8" s="74" t="s">
        <v>6</v>
      </c>
      <c r="C8" s="75"/>
      <c r="E8" s="74" t="s">
        <v>41</v>
      </c>
      <c r="F8" s="76"/>
      <c r="G8" s="75"/>
      <c r="I8" s="74" t="s">
        <v>42</v>
      </c>
      <c r="J8" s="76"/>
      <c r="K8" s="76"/>
      <c r="L8" s="75"/>
    </row>
    <row r="9" spans="1:15" s="29" customFormat="1" ht="45.75" thickBot="1" x14ac:dyDescent="0.3">
      <c r="A9" s="32"/>
      <c r="B9" s="31" t="s">
        <v>0</v>
      </c>
      <c r="C9" s="31" t="s">
        <v>15</v>
      </c>
      <c r="D9" s="33"/>
      <c r="E9" s="31" t="s">
        <v>22</v>
      </c>
      <c r="F9" s="31" t="s">
        <v>16</v>
      </c>
      <c r="G9" s="31" t="s">
        <v>33</v>
      </c>
      <c r="H9" s="33"/>
      <c r="I9" s="31" t="s">
        <v>20</v>
      </c>
      <c r="J9" s="31" t="s">
        <v>13</v>
      </c>
      <c r="K9" s="31" t="s">
        <v>17</v>
      </c>
      <c r="L9" s="31" t="s">
        <v>1</v>
      </c>
      <c r="M9" s="33"/>
      <c r="N9" s="31" t="s">
        <v>14</v>
      </c>
      <c r="O9" s="34"/>
    </row>
    <row r="10" spans="1:15" ht="15.75" thickBot="1" x14ac:dyDescent="0.3">
      <c r="A10" s="3" t="s">
        <v>2</v>
      </c>
      <c r="B10" s="4">
        <v>1</v>
      </c>
      <c r="C10" s="5">
        <f>+C16*1.2778</f>
        <v>255560</v>
      </c>
      <c r="D10" s="6"/>
      <c r="E10" s="4">
        <f>+B10-I10</f>
        <v>0.75</v>
      </c>
      <c r="F10" s="5">
        <f>+C10</f>
        <v>255560</v>
      </c>
      <c r="G10" s="5">
        <f>+F10*E10</f>
        <v>191670</v>
      </c>
      <c r="H10" s="6"/>
      <c r="I10" s="19">
        <f>+N5</f>
        <v>0.25</v>
      </c>
      <c r="J10" s="7">
        <f>+$I$5</f>
        <v>0.2</v>
      </c>
      <c r="K10" s="5">
        <f>+C10*(1+J10)</f>
        <v>306672</v>
      </c>
      <c r="L10" s="8">
        <f>+I10*K10</f>
        <v>76668</v>
      </c>
      <c r="M10" s="6"/>
      <c r="N10" s="8">
        <f>+G10+L10</f>
        <v>268338</v>
      </c>
      <c r="O10" s="22">
        <f>+(N10-C10)/C10</f>
        <v>0.05</v>
      </c>
    </row>
    <row r="11" spans="1:15" ht="15.75" thickBot="1" x14ac:dyDescent="0.3">
      <c r="A11" s="9"/>
      <c r="J11" s="13"/>
      <c r="L11" s="23" t="s">
        <v>7</v>
      </c>
      <c r="N11" s="25">
        <f>+N10-C10</f>
        <v>12778</v>
      </c>
      <c r="O11" s="10"/>
    </row>
    <row r="12" spans="1:15" ht="15.75" thickBot="1" x14ac:dyDescent="0.3">
      <c r="A12" s="9"/>
      <c r="J12" s="13"/>
      <c r="L12" s="23"/>
      <c r="N12" s="14"/>
      <c r="O12" s="10"/>
    </row>
    <row r="13" spans="1:15" ht="15.75" thickBot="1" x14ac:dyDescent="0.3">
      <c r="A13" s="9" t="s">
        <v>3</v>
      </c>
      <c r="B13" s="11">
        <v>1</v>
      </c>
      <c r="C13" s="12">
        <f>+$C$5</f>
        <v>200000</v>
      </c>
      <c r="E13" s="11">
        <f>+E10</f>
        <v>0.75</v>
      </c>
      <c r="F13" s="12">
        <f>+C13</f>
        <v>200000</v>
      </c>
      <c r="G13" s="12">
        <f>+F13*E13</f>
        <v>150000</v>
      </c>
      <c r="I13" s="19">
        <f>+N5</f>
        <v>0.25</v>
      </c>
      <c r="J13" s="13">
        <f>+$I$5</f>
        <v>0.2</v>
      </c>
      <c r="K13" s="12">
        <f>+C13*(1+J13)</f>
        <v>240000</v>
      </c>
      <c r="L13" s="14">
        <f>+I13*K13</f>
        <v>60000</v>
      </c>
      <c r="N13" s="14">
        <f>+G13+L13</f>
        <v>210000</v>
      </c>
      <c r="O13" s="15">
        <f>+(N13-C13)/C13</f>
        <v>0.05</v>
      </c>
    </row>
    <row r="14" spans="1:15" ht="15.75" thickBot="1" x14ac:dyDescent="0.3">
      <c r="A14" s="9" t="s">
        <v>24</v>
      </c>
      <c r="J14" s="13"/>
      <c r="L14" s="23" t="s">
        <v>7</v>
      </c>
      <c r="N14" s="25">
        <f>+N13-C13</f>
        <v>10000</v>
      </c>
      <c r="O14" s="10"/>
    </row>
    <row r="15" spans="1:15" ht="15.75" thickBot="1" x14ac:dyDescent="0.3">
      <c r="A15" s="9"/>
      <c r="J15" s="13"/>
      <c r="L15" s="23"/>
      <c r="N15" s="14"/>
      <c r="O15" s="10"/>
    </row>
    <row r="16" spans="1:15" x14ac:dyDescent="0.25">
      <c r="A16" s="9" t="s">
        <v>3</v>
      </c>
      <c r="B16" s="11">
        <v>1</v>
      </c>
      <c r="C16" s="12">
        <f>+$C$5</f>
        <v>200000</v>
      </c>
      <c r="E16" s="11">
        <f>+E10</f>
        <v>0.75</v>
      </c>
      <c r="F16" s="12">
        <f>+C16</f>
        <v>200000</v>
      </c>
      <c r="G16" s="12">
        <f>+F16*E16</f>
        <v>150000</v>
      </c>
      <c r="I16" s="20">
        <f>+N5</f>
        <v>0.25</v>
      </c>
      <c r="J16" s="13">
        <f>+$I$5</f>
        <v>0.2</v>
      </c>
      <c r="K16" s="12">
        <f>+C16*(1+J16)</f>
        <v>240000</v>
      </c>
      <c r="L16" s="14">
        <f>+I16*K16</f>
        <v>60000</v>
      </c>
      <c r="N16" s="14">
        <f>+G16+L16</f>
        <v>210000</v>
      </c>
      <c r="O16" s="15">
        <f>+(N16-C16)/C16</f>
        <v>0.05</v>
      </c>
    </row>
    <row r="17" spans="1:15" ht="15.75" thickBot="1" x14ac:dyDescent="0.3">
      <c r="A17" s="9" t="s">
        <v>4</v>
      </c>
      <c r="B17" t="s">
        <v>5</v>
      </c>
      <c r="C17" s="1">
        <f>+C16*0.02778*10</f>
        <v>55560</v>
      </c>
      <c r="I17" s="21">
        <v>1</v>
      </c>
      <c r="J17" s="13">
        <f>+$I$5</f>
        <v>0.2</v>
      </c>
      <c r="K17" s="12">
        <f>+C17*(1+J17)</f>
        <v>66672</v>
      </c>
      <c r="L17" s="14">
        <f>+I17*K17</f>
        <v>66672</v>
      </c>
      <c r="N17" s="2">
        <f>+G17+L17</f>
        <v>66672</v>
      </c>
      <c r="O17" s="15">
        <f>+(N17-C17)/C17</f>
        <v>0.2</v>
      </c>
    </row>
    <row r="18" spans="1:15" ht="15.75" thickBot="1" x14ac:dyDescent="0.3">
      <c r="A18" s="9"/>
      <c r="C18" s="14">
        <f>SUM(C16:C17)</f>
        <v>255560</v>
      </c>
      <c r="N18" s="14">
        <f>SUM(N16:N17)</f>
        <v>276672</v>
      </c>
      <c r="O18" s="22">
        <f>+(N18-C18)/C18</f>
        <v>8.261073720457035E-2</v>
      </c>
    </row>
    <row r="19" spans="1:15" ht="15.75" thickBot="1" x14ac:dyDescent="0.3">
      <c r="A19" s="9"/>
      <c r="C19" s="14"/>
      <c r="L19" s="23" t="s">
        <v>7</v>
      </c>
      <c r="N19" s="25">
        <f>+N18-C18</f>
        <v>21112</v>
      </c>
      <c r="O19" s="15"/>
    </row>
    <row r="20" spans="1:15" x14ac:dyDescent="0.25">
      <c r="A20" s="9" t="s">
        <v>3</v>
      </c>
      <c r="B20" s="11">
        <v>1</v>
      </c>
      <c r="C20" s="12">
        <f>+$C$5</f>
        <v>200000</v>
      </c>
      <c r="E20" s="11">
        <f>+E10</f>
        <v>0.75</v>
      </c>
      <c r="F20" s="12">
        <f>+C20</f>
        <v>200000</v>
      </c>
      <c r="G20" s="12">
        <f>+F20*E20</f>
        <v>150000</v>
      </c>
      <c r="I20" s="20">
        <f>+N5</f>
        <v>0.25</v>
      </c>
      <c r="J20" s="13">
        <f>+$I$5</f>
        <v>0.2</v>
      </c>
      <c r="K20" s="12">
        <f>+C20*(1+J20)</f>
        <v>240000</v>
      </c>
      <c r="L20" s="14">
        <f>+I20*K20</f>
        <v>60000</v>
      </c>
      <c r="N20" s="14">
        <f>+G20+L20</f>
        <v>210000</v>
      </c>
      <c r="O20" s="15">
        <f>+(N20-C20)/C20</f>
        <v>0.05</v>
      </c>
    </row>
    <row r="21" spans="1:15" ht="15.75" thickBot="1" x14ac:dyDescent="0.3">
      <c r="A21" s="9" t="s">
        <v>4</v>
      </c>
      <c r="B21" t="s">
        <v>5</v>
      </c>
      <c r="C21" s="1">
        <f>+C20*0.02778*10</f>
        <v>55560</v>
      </c>
      <c r="E21" t="s">
        <v>11</v>
      </c>
      <c r="F21" s="14">
        <f>+F20</f>
        <v>200000</v>
      </c>
      <c r="G21" s="12">
        <f>((+C20)*0.02778)*5</f>
        <v>27780</v>
      </c>
      <c r="I21" s="21">
        <v>1</v>
      </c>
      <c r="J21" s="30" t="s">
        <v>11</v>
      </c>
      <c r="K21" s="12">
        <f>+K20</f>
        <v>240000</v>
      </c>
      <c r="L21" s="12">
        <f>((+K20)*0.02778)*5</f>
        <v>33336</v>
      </c>
      <c r="N21" s="2">
        <f>+L21+G21</f>
        <v>61116</v>
      </c>
      <c r="O21" s="15">
        <f>+(N21-C21)/C21</f>
        <v>0.1</v>
      </c>
    </row>
    <row r="22" spans="1:15" ht="15.75" thickBot="1" x14ac:dyDescent="0.3">
      <c r="A22" s="9"/>
      <c r="C22" s="14">
        <f>SUM(C20:C21)</f>
        <v>255560</v>
      </c>
      <c r="F22" s="26" t="s">
        <v>40</v>
      </c>
      <c r="N22" s="14">
        <f>SUM(N20:N21)</f>
        <v>271116</v>
      </c>
      <c r="O22" s="22">
        <f>+(N22-C22)/C22</f>
        <v>6.0870245734856783E-2</v>
      </c>
    </row>
    <row r="23" spans="1:15" ht="15.75" thickBot="1" x14ac:dyDescent="0.3">
      <c r="A23" s="16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24" t="s">
        <v>7</v>
      </c>
      <c r="M23" s="17"/>
      <c r="N23" s="25">
        <f>+N22-C22</f>
        <v>15556</v>
      </c>
      <c r="O23" s="18"/>
    </row>
    <row r="25" spans="1:15" x14ac:dyDescent="0.25">
      <c r="A25" s="27" t="s">
        <v>9</v>
      </c>
    </row>
    <row r="26" spans="1:15" x14ac:dyDescent="0.25">
      <c r="A26" s="27" t="s">
        <v>10</v>
      </c>
    </row>
    <row r="28" spans="1:15" x14ac:dyDescent="0.25">
      <c r="A28" s="26"/>
    </row>
    <row r="29" spans="1:15" x14ac:dyDescent="0.25">
      <c r="A29" s="28"/>
    </row>
  </sheetData>
  <protectedRanges>
    <protectedRange sqref="A3:XFD6" name="Parameters"/>
  </protectedRanges>
  <mergeCells count="4">
    <mergeCell ref="A1:O1"/>
    <mergeCell ref="B8:C8"/>
    <mergeCell ref="E8:G8"/>
    <mergeCell ref="I8:L8"/>
  </mergeCells>
  <printOptions horizontalCentered="1"/>
  <pageMargins left="0.45" right="0.45" top="0.5" bottom="0.5" header="0.3" footer="0.3"/>
  <pageSetup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822E1B-6EA0-4390-8327-71A04EC630C3}">
  <sheetPr>
    <tabColor theme="8" tint="0.39997558519241921"/>
    <pageSetUpPr fitToPage="1"/>
  </sheetPr>
  <dimension ref="B1:P22"/>
  <sheetViews>
    <sheetView showGridLines="0" tabSelected="1" zoomScale="110" workbookViewId="0">
      <selection activeCell="B1" sqref="B1:P1"/>
    </sheetView>
  </sheetViews>
  <sheetFormatPr defaultRowHeight="15" x14ac:dyDescent="0.25"/>
  <cols>
    <col min="1" max="1" width="2.5703125" customWidth="1"/>
    <col min="2" max="2" width="16.140625" customWidth="1"/>
    <col min="4" max="4" width="14.28515625" bestFit="1" customWidth="1"/>
    <col min="5" max="5" width="2.85546875" customWidth="1"/>
    <col min="6" max="6" width="8.140625" customWidth="1"/>
    <col min="7" max="8" width="14.28515625" customWidth="1"/>
    <col min="9" max="9" width="2.7109375" customWidth="1"/>
    <col min="10" max="10" width="11.5703125" customWidth="1"/>
    <col min="11" max="11" width="14.85546875" customWidth="1"/>
    <col min="12" max="12" width="15.7109375" customWidth="1"/>
    <col min="13" max="13" width="9.7109375" bestFit="1" customWidth="1"/>
    <col min="14" max="14" width="2.28515625" customWidth="1"/>
    <col min="15" max="15" width="10" bestFit="1" customWidth="1"/>
    <col min="16" max="16" width="14.42578125" bestFit="1" customWidth="1"/>
    <col min="17" max="17" width="2.5703125" customWidth="1"/>
    <col min="18" max="18" width="10" bestFit="1" customWidth="1"/>
  </cols>
  <sheetData>
    <row r="1" spans="2:16" ht="21" x14ac:dyDescent="0.35">
      <c r="B1" s="73" t="s">
        <v>46</v>
      </c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</row>
    <row r="2" spans="2:16" ht="21.75" thickBot="1" x14ac:dyDescent="0.4"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</row>
    <row r="3" spans="2:16" ht="15.75" x14ac:dyDescent="0.25">
      <c r="B3" s="55" t="s">
        <v>39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40"/>
    </row>
    <row r="4" spans="2:16" ht="8.25" customHeight="1" thickBot="1" x14ac:dyDescent="0.4">
      <c r="B4" s="41"/>
      <c r="P4" s="10"/>
    </row>
    <row r="5" spans="2:16" ht="15.75" thickBot="1" x14ac:dyDescent="0.3">
      <c r="B5" s="9"/>
      <c r="C5" s="42" t="s">
        <v>8</v>
      </c>
      <c r="D5" s="36">
        <v>100000</v>
      </c>
      <c r="E5" s="42"/>
      <c r="F5" s="42"/>
      <c r="G5" s="42"/>
      <c r="H5" s="43" t="s">
        <v>12</v>
      </c>
      <c r="I5" s="42"/>
      <c r="J5" s="37">
        <v>0.25</v>
      </c>
      <c r="K5" s="42" t="s">
        <v>37</v>
      </c>
      <c r="M5" s="43" t="s">
        <v>20</v>
      </c>
      <c r="N5" s="42"/>
      <c r="O5" s="38">
        <v>0.25</v>
      </c>
      <c r="P5" s="70" t="s">
        <v>37</v>
      </c>
    </row>
    <row r="6" spans="2:16" x14ac:dyDescent="0.25">
      <c r="B6" s="9"/>
      <c r="C6" s="42"/>
      <c r="D6" s="61"/>
      <c r="E6" s="42"/>
      <c r="F6" s="42"/>
      <c r="G6" s="42"/>
      <c r="H6" s="58" t="s">
        <v>26</v>
      </c>
      <c r="I6" s="27" t="s">
        <v>27</v>
      </c>
      <c r="J6" s="59" t="s">
        <v>21</v>
      </c>
      <c r="K6" s="27" t="s">
        <v>29</v>
      </c>
      <c r="M6" s="58" t="s">
        <v>26</v>
      </c>
      <c r="N6" s="27" t="s">
        <v>27</v>
      </c>
      <c r="O6" s="60" t="s">
        <v>23</v>
      </c>
      <c r="P6" s="57" t="s">
        <v>30</v>
      </c>
    </row>
    <row r="7" spans="2:16" ht="9" customHeight="1" thickBot="1" x14ac:dyDescent="0.3">
      <c r="B7" s="9"/>
      <c r="C7" s="42"/>
      <c r="D7" s="62"/>
      <c r="E7" s="42"/>
      <c r="F7" s="42"/>
      <c r="G7" s="42"/>
      <c r="H7" s="58"/>
      <c r="I7" s="27"/>
      <c r="J7" s="63"/>
      <c r="K7" s="27"/>
      <c r="M7" s="58"/>
      <c r="N7" s="27"/>
      <c r="O7" s="64"/>
      <c r="P7" s="57"/>
    </row>
    <row r="8" spans="2:16" ht="15.75" thickBot="1" x14ac:dyDescent="0.3">
      <c r="B8" s="9"/>
      <c r="E8" s="42"/>
      <c r="F8" s="56" t="s">
        <v>32</v>
      </c>
      <c r="G8" s="38">
        <v>10</v>
      </c>
      <c r="H8" s="58"/>
      <c r="I8" s="42"/>
      <c r="K8" s="56" t="s">
        <v>31</v>
      </c>
      <c r="L8" s="38">
        <v>5</v>
      </c>
      <c r="N8" s="27"/>
      <c r="O8" s="64"/>
      <c r="P8" s="57"/>
    </row>
    <row r="9" spans="2:16" ht="15.75" thickBot="1" x14ac:dyDescent="0.3">
      <c r="B9" s="16"/>
      <c r="C9" s="17"/>
      <c r="D9" s="17"/>
      <c r="E9" s="17"/>
      <c r="F9" s="17"/>
      <c r="G9" s="49" t="s">
        <v>49</v>
      </c>
      <c r="H9" s="50"/>
      <c r="I9" s="49"/>
      <c r="J9" s="49"/>
      <c r="K9" s="48"/>
      <c r="L9" s="17"/>
      <c r="M9" s="50"/>
      <c r="N9" s="49"/>
      <c r="O9" s="49"/>
      <c r="P9" s="51"/>
    </row>
    <row r="10" spans="2:16" ht="15.75" thickBot="1" x14ac:dyDescent="0.3">
      <c r="J10" s="26"/>
      <c r="O10" s="26"/>
    </row>
    <row r="11" spans="2:16" ht="15.75" thickBot="1" x14ac:dyDescent="0.3">
      <c r="C11" s="74" t="s">
        <v>6</v>
      </c>
      <c r="D11" s="75"/>
      <c r="F11" s="74" t="s">
        <v>41</v>
      </c>
      <c r="G11" s="76"/>
      <c r="H11" s="75"/>
      <c r="J11" s="74" t="s">
        <v>42</v>
      </c>
      <c r="K11" s="76"/>
      <c r="L11" s="76"/>
      <c r="M11" s="75"/>
    </row>
    <row r="12" spans="2:16" ht="45.75" thickBot="1" x14ac:dyDescent="0.3">
      <c r="B12" s="65" t="s">
        <v>3</v>
      </c>
      <c r="C12" s="31" t="s">
        <v>0</v>
      </c>
      <c r="D12" s="31" t="s">
        <v>15</v>
      </c>
      <c r="E12" s="33"/>
      <c r="F12" s="31" t="s">
        <v>22</v>
      </c>
      <c r="G12" s="31" t="s">
        <v>16</v>
      </c>
      <c r="H12" s="31" t="s">
        <v>1</v>
      </c>
      <c r="I12" s="33"/>
      <c r="J12" s="31" t="s">
        <v>20</v>
      </c>
      <c r="K12" s="31" t="s">
        <v>13</v>
      </c>
      <c r="L12" s="31" t="s">
        <v>17</v>
      </c>
      <c r="M12" s="31" t="s">
        <v>1</v>
      </c>
      <c r="N12" s="33"/>
      <c r="O12" s="31" t="s">
        <v>14</v>
      </c>
      <c r="P12" s="34"/>
    </row>
    <row r="13" spans="2:16" ht="15.75" thickBot="1" x14ac:dyDescent="0.3">
      <c r="B13" s="9" t="s">
        <v>3</v>
      </c>
      <c r="C13" s="11">
        <v>1</v>
      </c>
      <c r="D13" s="12">
        <f>+$D$5</f>
        <v>100000</v>
      </c>
      <c r="F13" s="11">
        <f>+C13-J13</f>
        <v>0.75</v>
      </c>
      <c r="G13" s="12">
        <f>+D13</f>
        <v>100000</v>
      </c>
      <c r="H13" s="12">
        <f>+G13*F13</f>
        <v>75000</v>
      </c>
      <c r="J13" s="19">
        <f>+O5</f>
        <v>0.25</v>
      </c>
      <c r="K13" s="13">
        <f>+$J$5</f>
        <v>0.25</v>
      </c>
      <c r="L13" s="12">
        <f>+D13*(1+K13)</f>
        <v>125000</v>
      </c>
      <c r="M13" s="14">
        <f>+J13*L13</f>
        <v>31250</v>
      </c>
      <c r="O13" s="14">
        <f>+H13+M13</f>
        <v>106250</v>
      </c>
      <c r="P13" s="15">
        <f>+(O13-D13)/D13</f>
        <v>6.25E-2</v>
      </c>
    </row>
    <row r="14" spans="2:16" ht="3.75" customHeight="1" x14ac:dyDescent="0.25">
      <c r="B14" s="9"/>
      <c r="C14" s="11"/>
      <c r="D14" s="12"/>
      <c r="F14" s="11"/>
      <c r="G14" s="12"/>
      <c r="H14" s="12"/>
      <c r="J14" s="4"/>
      <c r="K14" s="13"/>
      <c r="L14" s="12"/>
      <c r="M14" s="14"/>
      <c r="O14" s="14"/>
      <c r="P14" s="15"/>
    </row>
    <row r="15" spans="2:16" ht="15.75" thickBot="1" x14ac:dyDescent="0.3">
      <c r="B15" s="9"/>
      <c r="C15" s="67" t="s">
        <v>36</v>
      </c>
      <c r="D15" s="12"/>
      <c r="F15" s="67" t="s">
        <v>36</v>
      </c>
      <c r="G15" s="12"/>
      <c r="H15" s="12"/>
      <c r="J15" s="68"/>
      <c r="K15" s="67" t="s">
        <v>36</v>
      </c>
      <c r="L15" s="12"/>
      <c r="M15" s="14"/>
      <c r="O15" s="14"/>
      <c r="P15" s="15"/>
    </row>
    <row r="16" spans="2:16" ht="15.75" thickBot="1" x14ac:dyDescent="0.3">
      <c r="B16" s="9" t="s">
        <v>4</v>
      </c>
      <c r="C16" s="11">
        <f>G8</f>
        <v>10</v>
      </c>
      <c r="D16" s="1">
        <f>+D13*0.02778*C16</f>
        <v>27780</v>
      </c>
      <c r="F16" s="11">
        <f>C16-K16</f>
        <v>5</v>
      </c>
      <c r="G16" s="14">
        <f>+G13</f>
        <v>100000</v>
      </c>
      <c r="H16" s="12">
        <f>((+D13)*0.02778)*F16</f>
        <v>13890</v>
      </c>
      <c r="J16" s="19">
        <v>1</v>
      </c>
      <c r="K16" s="66">
        <f>L8</f>
        <v>5</v>
      </c>
      <c r="L16" s="12">
        <f>+L13</f>
        <v>125000</v>
      </c>
      <c r="M16" s="12">
        <f>((+L16)*0.02778)*K16</f>
        <v>17362.5</v>
      </c>
      <c r="O16" s="2">
        <f>+M16+H16</f>
        <v>31252.5</v>
      </c>
      <c r="P16" s="15">
        <f>IF(K16&gt;0,(+(O16-D16)/D16),0)</f>
        <v>0.125</v>
      </c>
    </row>
    <row r="17" spans="2:16" ht="15.75" thickBot="1" x14ac:dyDescent="0.3">
      <c r="B17" s="9"/>
      <c r="D17" s="14">
        <f>SUM(D13:D16)</f>
        <v>127780</v>
      </c>
      <c r="G17" s="26" t="s">
        <v>40</v>
      </c>
      <c r="O17" s="14">
        <f>SUM(O13:O16)</f>
        <v>137502.5</v>
      </c>
      <c r="P17" s="22">
        <f>+(O17-D17)/D17</f>
        <v>7.6087807168570984E-2</v>
      </c>
    </row>
    <row r="18" spans="2:16" ht="5.25" customHeight="1" thickBot="1" x14ac:dyDescent="0.3">
      <c r="B18" s="9"/>
      <c r="D18" s="14"/>
      <c r="O18" s="14"/>
      <c r="P18" s="69"/>
    </row>
    <row r="19" spans="2:16" ht="15.75" thickBot="1" x14ac:dyDescent="0.3"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52"/>
      <c r="M19" s="53" t="s">
        <v>7</v>
      </c>
      <c r="N19" s="54"/>
      <c r="O19" s="47">
        <f>+O17-D17</f>
        <v>9722.5</v>
      </c>
      <c r="P19" s="18"/>
    </row>
    <row r="21" spans="2:16" x14ac:dyDescent="0.25">
      <c r="B21" s="27" t="s">
        <v>9</v>
      </c>
    </row>
    <row r="22" spans="2:16" s="72" customFormat="1" x14ac:dyDescent="0.25">
      <c r="B22" s="71" t="s">
        <v>51</v>
      </c>
    </row>
  </sheetData>
  <sheetProtection algorithmName="SHA-512" hashValue="z8mPzh/ZOru6176fVanxgxu1jVpEUEOUUNBjsMJ3YdbVpCSWMABiUWGuVpQ03ztU5Cb295enZIuU0ssUlmYK8g==" saltValue="jYcXovgf/QjtZ/sjH8YPsw==" spinCount="100000" sheet="1" objects="1" scenarios="1"/>
  <protectedRanges>
    <protectedRange sqref="B9:G9 Q9:XFD9 B4:B8 C3:XFD7 N8:XFD8 E8:F8" name="Parameters"/>
    <protectedRange sqref="H9:P9" name="Parameters_1"/>
    <protectedRange sqref="B3" name="Parameters_2"/>
    <protectedRange sqref="K8:L8 G8:I8" name="Parameters_3"/>
  </protectedRanges>
  <mergeCells count="4">
    <mergeCell ref="B1:P1"/>
    <mergeCell ref="C11:D11"/>
    <mergeCell ref="F11:H11"/>
    <mergeCell ref="J11:M11"/>
  </mergeCells>
  <printOptions horizontalCentered="1"/>
  <pageMargins left="0.45" right="0.45" top="0.5" bottom="0.5" header="0.3" footer="0.3"/>
  <pageSetup scale="74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52FE0F09-6DB0-4E1D-9CCC-358173A6E70A}">
          <x14:formula1>
            <xm:f>Lists!$C$2:$C$12</xm:f>
          </x14:formula1>
          <xm:sqref>O5</xm:sqref>
        </x14:dataValidation>
        <x14:dataValidation type="list" allowBlank="1" showInputMessage="1" showErrorMessage="1" xr:uid="{C3B0E5E6-A700-4423-99F5-79A023FE0132}">
          <x14:formula1>
            <xm:f>Lists!$A$2:$A$5</xm:f>
          </x14:formula1>
          <xm:sqref>J5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1E03C1-AD1F-41A2-9381-9F4401B0BF72}">
  <sheetPr>
    <tabColor theme="8" tint="0.39997558519241921"/>
    <pageSetUpPr fitToPage="1"/>
  </sheetPr>
  <dimension ref="B1:P17"/>
  <sheetViews>
    <sheetView showGridLines="0" zoomScale="110" workbookViewId="0">
      <selection activeCell="G20" sqref="G20"/>
    </sheetView>
  </sheetViews>
  <sheetFormatPr defaultRowHeight="15" x14ac:dyDescent="0.25"/>
  <cols>
    <col min="1" max="1" width="3" customWidth="1"/>
    <col min="2" max="2" width="15" customWidth="1"/>
    <col min="4" max="4" width="14.28515625" bestFit="1" customWidth="1"/>
    <col min="5" max="5" width="2.85546875" customWidth="1"/>
    <col min="6" max="6" width="8.140625" customWidth="1"/>
    <col min="7" max="8" width="14.28515625" customWidth="1"/>
    <col min="9" max="9" width="2.7109375" customWidth="1"/>
    <col min="10" max="10" width="11.5703125" customWidth="1"/>
    <col min="11" max="11" width="14.85546875" customWidth="1"/>
    <col min="12" max="12" width="15.7109375" customWidth="1"/>
    <col min="13" max="13" width="9.7109375" bestFit="1" customWidth="1"/>
    <col min="14" max="14" width="2.28515625" customWidth="1"/>
    <col min="15" max="15" width="9.7109375" bestFit="1" customWidth="1"/>
    <col min="16" max="16" width="12.85546875" customWidth="1"/>
    <col min="17" max="17" width="2.5703125" customWidth="1"/>
    <col min="18" max="18" width="10" bestFit="1" customWidth="1"/>
  </cols>
  <sheetData>
    <row r="1" spans="2:16" ht="21" x14ac:dyDescent="0.35">
      <c r="B1" s="73" t="s">
        <v>47</v>
      </c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</row>
    <row r="2" spans="2:16" ht="21.75" thickBot="1" x14ac:dyDescent="0.4"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</row>
    <row r="3" spans="2:16" ht="21" x14ac:dyDescent="0.35">
      <c r="B3" s="39" t="s">
        <v>38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40"/>
    </row>
    <row r="4" spans="2:16" ht="8.25" customHeight="1" thickBot="1" x14ac:dyDescent="0.4">
      <c r="B4" s="41"/>
      <c r="P4" s="10"/>
    </row>
    <row r="5" spans="2:16" ht="15.75" thickBot="1" x14ac:dyDescent="0.3">
      <c r="B5" s="9"/>
      <c r="C5" s="42" t="s">
        <v>28</v>
      </c>
      <c r="D5" s="36">
        <v>200000</v>
      </c>
      <c r="E5" s="42"/>
      <c r="F5" s="42"/>
      <c r="G5" s="42"/>
      <c r="H5" s="43" t="s">
        <v>12</v>
      </c>
      <c r="I5" s="42"/>
      <c r="J5" s="37">
        <v>0.25</v>
      </c>
      <c r="K5" s="42" t="s">
        <v>37</v>
      </c>
      <c r="M5" s="43" t="s">
        <v>20</v>
      </c>
      <c r="N5" s="42"/>
      <c r="O5" s="38">
        <v>0.25</v>
      </c>
      <c r="P5" s="70" t="s">
        <v>37</v>
      </c>
    </row>
    <row r="6" spans="2:16" ht="15.75" thickBot="1" x14ac:dyDescent="0.3">
      <c r="B6" s="16"/>
      <c r="C6" s="17"/>
      <c r="D6" s="17"/>
      <c r="E6" s="17"/>
      <c r="F6" s="17"/>
      <c r="G6" s="17"/>
      <c r="H6" s="50" t="s">
        <v>26</v>
      </c>
      <c r="I6" s="49" t="s">
        <v>27</v>
      </c>
      <c r="J6" s="49" t="s">
        <v>21</v>
      </c>
      <c r="K6" s="48" t="s">
        <v>29</v>
      </c>
      <c r="L6" s="17"/>
      <c r="M6" s="50" t="s">
        <v>26</v>
      </c>
      <c r="N6" s="49" t="s">
        <v>27</v>
      </c>
      <c r="O6" s="49" t="s">
        <v>23</v>
      </c>
      <c r="P6" s="51" t="s">
        <v>29</v>
      </c>
    </row>
    <row r="7" spans="2:16" ht="15.75" thickBot="1" x14ac:dyDescent="0.3">
      <c r="J7" s="26"/>
      <c r="O7" s="26"/>
    </row>
    <row r="8" spans="2:16" ht="15.75" thickBot="1" x14ac:dyDescent="0.3">
      <c r="C8" s="74" t="s">
        <v>6</v>
      </c>
      <c r="D8" s="75"/>
      <c r="F8" s="74" t="s">
        <v>41</v>
      </c>
      <c r="G8" s="76"/>
      <c r="H8" s="75"/>
      <c r="J8" s="74" t="s">
        <v>42</v>
      </c>
      <c r="K8" s="76"/>
      <c r="L8" s="76"/>
      <c r="M8" s="75"/>
    </row>
    <row r="9" spans="2:16" s="29" customFormat="1" ht="45.75" thickBot="1" x14ac:dyDescent="0.3">
      <c r="B9" s="65" t="s">
        <v>2</v>
      </c>
      <c r="C9" s="31" t="s">
        <v>0</v>
      </c>
      <c r="D9" s="31" t="s">
        <v>15</v>
      </c>
      <c r="E9" s="33"/>
      <c r="F9" s="31" t="s">
        <v>22</v>
      </c>
      <c r="G9" s="31" t="s">
        <v>16</v>
      </c>
      <c r="H9" s="31" t="s">
        <v>1</v>
      </c>
      <c r="I9" s="33"/>
      <c r="J9" s="31" t="s">
        <v>20</v>
      </c>
      <c r="K9" s="31" t="s">
        <v>13</v>
      </c>
      <c r="L9" s="31" t="s">
        <v>17</v>
      </c>
      <c r="M9" s="31" t="s">
        <v>1</v>
      </c>
      <c r="N9" s="33"/>
      <c r="O9" s="31" t="s">
        <v>14</v>
      </c>
      <c r="P9" s="34"/>
    </row>
    <row r="10" spans="2:16" ht="15.75" thickBot="1" x14ac:dyDescent="0.3">
      <c r="B10" s="3" t="s">
        <v>2</v>
      </c>
      <c r="C10" s="4">
        <v>1</v>
      </c>
      <c r="D10" s="5">
        <f>D5</f>
        <v>200000</v>
      </c>
      <c r="E10" s="6"/>
      <c r="F10" s="4">
        <f>+C10-J10</f>
        <v>0.75</v>
      </c>
      <c r="G10" s="5">
        <f>+D10</f>
        <v>200000</v>
      </c>
      <c r="H10" s="5">
        <f>+G10*F10</f>
        <v>150000</v>
      </c>
      <c r="I10" s="6"/>
      <c r="J10" s="19">
        <f>+O5</f>
        <v>0.25</v>
      </c>
      <c r="K10" s="7">
        <f>+$J$5</f>
        <v>0.25</v>
      </c>
      <c r="L10" s="5">
        <f>+D10*(1+K10)</f>
        <v>250000</v>
      </c>
      <c r="M10" s="8">
        <f>+J10*L10</f>
        <v>62500</v>
      </c>
      <c r="N10" s="6"/>
      <c r="O10" s="8">
        <f>+H10+M10</f>
        <v>212500</v>
      </c>
      <c r="P10" s="22">
        <f>+(O10-D10)/D10</f>
        <v>6.25E-2</v>
      </c>
    </row>
    <row r="11" spans="2:16" ht="5.25" customHeight="1" thickBot="1" x14ac:dyDescent="0.3">
      <c r="B11" s="9"/>
      <c r="C11" s="11"/>
      <c r="D11" s="12"/>
      <c r="F11" s="11"/>
      <c r="G11" s="12"/>
      <c r="H11" s="12"/>
      <c r="J11" s="4"/>
      <c r="K11" s="13"/>
      <c r="L11" s="5"/>
      <c r="M11" s="8"/>
      <c r="N11" s="6"/>
      <c r="O11" s="8"/>
      <c r="P11" s="69"/>
    </row>
    <row r="12" spans="2:16" ht="15.75" thickBot="1" x14ac:dyDescent="0.3">
      <c r="B12" s="16"/>
      <c r="C12" s="17"/>
      <c r="D12" s="17"/>
      <c r="E12" s="17"/>
      <c r="F12" s="17"/>
      <c r="G12" s="17"/>
      <c r="H12" s="17"/>
      <c r="I12" s="17"/>
      <c r="J12" s="17"/>
      <c r="K12" s="46"/>
      <c r="L12" s="52"/>
      <c r="M12" s="53" t="s">
        <v>7</v>
      </c>
      <c r="N12" s="54"/>
      <c r="O12" s="47">
        <f>+O10-D10</f>
        <v>12500</v>
      </c>
      <c r="P12" s="18"/>
    </row>
    <row r="14" spans="2:16" x14ac:dyDescent="0.25">
      <c r="B14" s="27" t="s">
        <v>52</v>
      </c>
    </row>
    <row r="16" spans="2:16" x14ac:dyDescent="0.25">
      <c r="B16" s="26"/>
    </row>
    <row r="17" spans="2:2" x14ac:dyDescent="0.25">
      <c r="B17" s="28"/>
    </row>
  </sheetData>
  <sheetProtection algorithmName="SHA-512" hashValue="rREl7UPoTPSdilYdyNAyFRFZgz1+cO1jaQsPrFR74MM0QtATYgpozBVNxkPgMm84VrrsfKIsVcFHx3jcRl348g==" saltValue="tkYiWONQhIzoG8rbasBZMg==" spinCount="100000" sheet="1" objects="1" scenarios="1"/>
  <protectedRanges>
    <protectedRange sqref="A3:XFD6" name="Parameters"/>
  </protectedRanges>
  <mergeCells count="4">
    <mergeCell ref="B1:P1"/>
    <mergeCell ref="C8:D8"/>
    <mergeCell ref="F8:H8"/>
    <mergeCell ref="J8:M8"/>
  </mergeCells>
  <printOptions horizontalCentered="1"/>
  <pageMargins left="0.45" right="0.45" top="0.5" bottom="0.5" header="0.3" footer="0.3"/>
  <pageSetup scale="75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246A31CA-CE11-4749-9AE4-CFE8019F4EB8}">
          <x14:formula1>
            <xm:f>Lists!$A$2:$A$5</xm:f>
          </x14:formula1>
          <xm:sqref>J5</xm:sqref>
        </x14:dataValidation>
        <x14:dataValidation type="list" allowBlank="1" showInputMessage="1" showErrorMessage="1" xr:uid="{290C4FFD-914F-4A91-A6E4-990E79681450}">
          <x14:formula1>
            <xm:f>Lists!$C$2:$C$12</xm:f>
          </x14:formula1>
          <xm:sqref>O5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542F24-1D04-495A-9C84-1A235C5E90AF}">
  <sheetPr>
    <tabColor theme="8" tint="0.39997558519241921"/>
    <pageSetUpPr fitToPage="1"/>
  </sheetPr>
  <dimension ref="B1:P29"/>
  <sheetViews>
    <sheetView showGridLines="0" zoomScale="110" workbookViewId="0">
      <selection activeCell="A29" sqref="A29:XFD29"/>
    </sheetView>
  </sheetViews>
  <sheetFormatPr defaultRowHeight="15" x14ac:dyDescent="0.25"/>
  <cols>
    <col min="1" max="1" width="3.140625" customWidth="1"/>
    <col min="2" max="2" width="16.140625" customWidth="1"/>
    <col min="4" max="4" width="14.28515625" bestFit="1" customWidth="1"/>
    <col min="5" max="5" width="2.85546875" customWidth="1"/>
    <col min="6" max="6" width="8.140625" customWidth="1"/>
    <col min="7" max="8" width="14.28515625" customWidth="1"/>
    <col min="9" max="9" width="2.7109375" customWidth="1"/>
    <col min="10" max="10" width="11.5703125" customWidth="1"/>
    <col min="11" max="11" width="14.85546875" customWidth="1"/>
    <col min="12" max="12" width="15.7109375" customWidth="1"/>
    <col min="13" max="13" width="9.7109375" bestFit="1" customWidth="1"/>
    <col min="14" max="14" width="2.28515625" customWidth="1"/>
    <col min="15" max="15" width="10" bestFit="1" customWidth="1"/>
    <col min="16" max="16" width="14.42578125" bestFit="1" customWidth="1"/>
    <col min="17" max="17" width="2.5703125" customWidth="1"/>
    <col min="18" max="18" width="10" bestFit="1" customWidth="1"/>
  </cols>
  <sheetData>
    <row r="1" spans="2:16" ht="21" x14ac:dyDescent="0.35">
      <c r="B1" s="73" t="s">
        <v>46</v>
      </c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</row>
    <row r="2" spans="2:16" ht="21.75" thickBot="1" x14ac:dyDescent="0.4"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</row>
    <row r="3" spans="2:16" ht="15.75" x14ac:dyDescent="0.25">
      <c r="B3" s="55" t="s">
        <v>39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40"/>
    </row>
    <row r="4" spans="2:16" ht="8.25" customHeight="1" thickBot="1" x14ac:dyDescent="0.4">
      <c r="B4" s="41"/>
      <c r="P4" s="10"/>
    </row>
    <row r="5" spans="2:16" ht="15.75" thickBot="1" x14ac:dyDescent="0.3">
      <c r="B5" s="9"/>
      <c r="C5" s="42" t="s">
        <v>8</v>
      </c>
      <c r="D5" s="36">
        <v>200000</v>
      </c>
      <c r="E5" s="42"/>
      <c r="F5" s="42"/>
      <c r="G5" s="42"/>
      <c r="H5" s="43" t="s">
        <v>12</v>
      </c>
      <c r="I5" s="42"/>
      <c r="J5" s="37">
        <v>0.2</v>
      </c>
      <c r="K5" s="42" t="s">
        <v>37</v>
      </c>
      <c r="M5" s="43" t="s">
        <v>20</v>
      </c>
      <c r="N5" s="42"/>
      <c r="O5" s="38">
        <v>0.25</v>
      </c>
      <c r="P5" s="70" t="s">
        <v>37</v>
      </c>
    </row>
    <row r="6" spans="2:16" x14ac:dyDescent="0.25">
      <c r="B6" s="9"/>
      <c r="C6" s="42"/>
      <c r="D6" s="61"/>
      <c r="E6" s="42"/>
      <c r="F6" s="42"/>
      <c r="G6" s="42"/>
      <c r="H6" s="58" t="s">
        <v>26</v>
      </c>
      <c r="I6" s="27" t="s">
        <v>27</v>
      </c>
      <c r="J6" s="59" t="s">
        <v>21</v>
      </c>
      <c r="K6" s="27" t="s">
        <v>29</v>
      </c>
      <c r="M6" s="58" t="s">
        <v>26</v>
      </c>
      <c r="N6" s="27" t="s">
        <v>27</v>
      </c>
      <c r="O6" s="60" t="s">
        <v>23</v>
      </c>
      <c r="P6" s="57" t="s">
        <v>30</v>
      </c>
    </row>
    <row r="7" spans="2:16" ht="9" customHeight="1" thickBot="1" x14ac:dyDescent="0.3">
      <c r="B7" s="9"/>
      <c r="C7" s="42"/>
      <c r="D7" s="62"/>
      <c r="E7" s="42"/>
      <c r="F7" s="42"/>
      <c r="G7" s="42"/>
      <c r="H7" s="58"/>
      <c r="I7" s="27"/>
      <c r="J7" s="63"/>
      <c r="K7" s="27"/>
      <c r="M7" s="58"/>
      <c r="N7" s="27"/>
      <c r="O7" s="64"/>
      <c r="P7" s="57"/>
    </row>
    <row r="8" spans="2:16" ht="15.75" thickBot="1" x14ac:dyDescent="0.3">
      <c r="B8" s="9"/>
      <c r="E8" s="42"/>
      <c r="F8" s="56" t="s">
        <v>32</v>
      </c>
      <c r="G8" s="38">
        <v>10</v>
      </c>
      <c r="H8" s="58"/>
      <c r="I8" s="42"/>
      <c r="K8" s="56" t="s">
        <v>31</v>
      </c>
      <c r="L8" s="38">
        <v>5</v>
      </c>
      <c r="N8" s="27"/>
      <c r="O8" s="64"/>
      <c r="P8" s="57"/>
    </row>
    <row r="9" spans="2:16" ht="15.75" thickBot="1" x14ac:dyDescent="0.3">
      <c r="B9" s="16"/>
      <c r="C9" s="17"/>
      <c r="D9" s="17"/>
      <c r="E9" s="17"/>
      <c r="F9" s="17"/>
      <c r="G9" s="17"/>
      <c r="H9" s="50"/>
      <c r="I9" s="49"/>
      <c r="J9" s="49"/>
      <c r="K9" s="48"/>
      <c r="L9" s="17"/>
      <c r="M9" s="50"/>
      <c r="N9" s="49"/>
      <c r="O9" s="49"/>
      <c r="P9" s="51"/>
    </row>
    <row r="10" spans="2:16" ht="15.75" thickBot="1" x14ac:dyDescent="0.3">
      <c r="J10" s="26"/>
      <c r="O10" s="26"/>
    </row>
    <row r="11" spans="2:16" ht="15.75" thickBot="1" x14ac:dyDescent="0.3">
      <c r="C11" s="74" t="s">
        <v>6</v>
      </c>
      <c r="D11" s="75"/>
      <c r="F11" s="74" t="s">
        <v>43</v>
      </c>
      <c r="G11" s="76"/>
      <c r="H11" s="75"/>
      <c r="J11" s="74" t="s">
        <v>44</v>
      </c>
      <c r="K11" s="76"/>
      <c r="L11" s="76"/>
      <c r="M11" s="75"/>
    </row>
    <row r="12" spans="2:16" s="29" customFormat="1" ht="45.75" thickBot="1" x14ac:dyDescent="0.3">
      <c r="B12" s="65" t="s">
        <v>34</v>
      </c>
      <c r="C12" s="31" t="s">
        <v>0</v>
      </c>
      <c r="D12" s="31" t="s">
        <v>15</v>
      </c>
      <c r="E12" s="33"/>
      <c r="F12" s="31" t="s">
        <v>22</v>
      </c>
      <c r="G12" s="31" t="s">
        <v>16</v>
      </c>
      <c r="H12" s="31" t="s">
        <v>1</v>
      </c>
      <c r="I12" s="33"/>
      <c r="J12" s="31" t="s">
        <v>20</v>
      </c>
      <c r="K12" s="31" t="s">
        <v>13</v>
      </c>
      <c r="L12" s="31" t="s">
        <v>17</v>
      </c>
      <c r="M12" s="31" t="s">
        <v>1</v>
      </c>
      <c r="N12" s="33"/>
      <c r="O12" s="31" t="s">
        <v>14</v>
      </c>
      <c r="P12" s="34"/>
    </row>
    <row r="13" spans="2:16" ht="15.75" thickBot="1" x14ac:dyDescent="0.3">
      <c r="B13" s="9" t="s">
        <v>3</v>
      </c>
      <c r="C13" s="11">
        <v>1</v>
      </c>
      <c r="D13" s="12">
        <f>+$D$5</f>
        <v>200000</v>
      </c>
      <c r="F13" s="11">
        <f>+C13-J13</f>
        <v>0.75</v>
      </c>
      <c r="G13" s="12">
        <f>+D13</f>
        <v>200000</v>
      </c>
      <c r="H13" s="12">
        <f>+G13*F13</f>
        <v>150000</v>
      </c>
      <c r="J13" s="19">
        <f>+O5</f>
        <v>0.25</v>
      </c>
      <c r="K13" s="13">
        <f>+$J$5</f>
        <v>0.2</v>
      </c>
      <c r="L13" s="12">
        <f>+D13*(1+K13)</f>
        <v>240000</v>
      </c>
      <c r="M13" s="14">
        <f>+J13*L13</f>
        <v>60000</v>
      </c>
      <c r="O13" s="14">
        <f>+H13+M13</f>
        <v>210000</v>
      </c>
      <c r="P13" s="22">
        <f>+(O13-D13)/D13</f>
        <v>0.05</v>
      </c>
    </row>
    <row r="14" spans="2:16" ht="6.75" customHeight="1" thickBot="1" x14ac:dyDescent="0.3">
      <c r="B14" s="9"/>
      <c r="C14" s="11"/>
      <c r="D14" s="12"/>
      <c r="F14" s="11"/>
      <c r="G14" s="12"/>
      <c r="H14" s="12"/>
      <c r="J14" s="4"/>
      <c r="K14" s="13"/>
      <c r="L14" s="12"/>
      <c r="M14" s="14"/>
      <c r="O14" s="14"/>
      <c r="P14" s="69"/>
    </row>
    <row r="15" spans="2:16" ht="15.75" thickBot="1" x14ac:dyDescent="0.3">
      <c r="B15" s="16" t="s">
        <v>24</v>
      </c>
      <c r="C15" s="17"/>
      <c r="D15" s="17"/>
      <c r="E15" s="17"/>
      <c r="F15" s="17"/>
      <c r="G15" s="17"/>
      <c r="H15" s="17"/>
      <c r="I15" s="17"/>
      <c r="J15" s="17"/>
      <c r="K15" s="46"/>
      <c r="L15" s="52"/>
      <c r="M15" s="53" t="s">
        <v>7</v>
      </c>
      <c r="N15" s="54"/>
      <c r="O15" s="47">
        <f>+O13-D13</f>
        <v>10000</v>
      </c>
      <c r="P15" s="18"/>
    </row>
    <row r="16" spans="2:16" x14ac:dyDescent="0.25">
      <c r="K16" s="13"/>
    </row>
    <row r="17" spans="2:16" ht="15.75" thickBot="1" x14ac:dyDescent="0.3"/>
    <row r="18" spans="2:16" ht="15.75" thickBot="1" x14ac:dyDescent="0.3">
      <c r="C18" s="74" t="s">
        <v>6</v>
      </c>
      <c r="D18" s="75"/>
      <c r="F18" s="74" t="s">
        <v>18</v>
      </c>
      <c r="G18" s="76"/>
      <c r="H18" s="75"/>
      <c r="J18" s="74" t="s">
        <v>19</v>
      </c>
      <c r="K18" s="76"/>
      <c r="L18" s="76"/>
      <c r="M18" s="75"/>
    </row>
    <row r="19" spans="2:16" ht="45.75" thickBot="1" x14ac:dyDescent="0.3">
      <c r="B19" s="65" t="s">
        <v>35</v>
      </c>
      <c r="C19" s="31" t="s">
        <v>0</v>
      </c>
      <c r="D19" s="31" t="s">
        <v>15</v>
      </c>
      <c r="E19" s="33"/>
      <c r="F19" s="31" t="s">
        <v>22</v>
      </c>
      <c r="G19" s="31" t="s">
        <v>16</v>
      </c>
      <c r="H19" s="31" t="s">
        <v>1</v>
      </c>
      <c r="I19" s="33"/>
      <c r="J19" s="31" t="s">
        <v>20</v>
      </c>
      <c r="K19" s="31" t="s">
        <v>13</v>
      </c>
      <c r="L19" s="31" t="s">
        <v>17</v>
      </c>
      <c r="M19" s="31" t="s">
        <v>1</v>
      </c>
      <c r="N19" s="33"/>
      <c r="O19" s="31" t="s">
        <v>14</v>
      </c>
      <c r="P19" s="34"/>
    </row>
    <row r="20" spans="2:16" ht="15.75" thickBot="1" x14ac:dyDescent="0.3">
      <c r="B20" s="9" t="s">
        <v>3</v>
      </c>
      <c r="C20" s="11">
        <v>1</v>
      </c>
      <c r="D20" s="12">
        <f>+$D$5</f>
        <v>200000</v>
      </c>
      <c r="F20" s="11">
        <f>+C20-J20</f>
        <v>0.75</v>
      </c>
      <c r="G20" s="12">
        <f>+D20</f>
        <v>200000</v>
      </c>
      <c r="H20" s="12">
        <f>+G20*F20</f>
        <v>150000</v>
      </c>
      <c r="J20" s="19">
        <f>+O5</f>
        <v>0.25</v>
      </c>
      <c r="K20" s="13">
        <f>+$J$5</f>
        <v>0.2</v>
      </c>
      <c r="L20" s="12">
        <f>+D20*(1+K20)</f>
        <v>240000</v>
      </c>
      <c r="M20" s="14">
        <f>+J20*L20</f>
        <v>60000</v>
      </c>
      <c r="O20" s="14">
        <f>+H20+M20</f>
        <v>210000</v>
      </c>
      <c r="P20" s="15">
        <f>+(O20-D20)/D20</f>
        <v>0.05</v>
      </c>
    </row>
    <row r="21" spans="2:16" ht="3.75" customHeight="1" x14ac:dyDescent="0.25">
      <c r="B21" s="9"/>
      <c r="C21" s="11"/>
      <c r="D21" s="12"/>
      <c r="F21" s="11"/>
      <c r="G21" s="12"/>
      <c r="H21" s="12"/>
      <c r="J21" s="4"/>
      <c r="K21" s="13"/>
      <c r="L21" s="12"/>
      <c r="M21" s="14"/>
      <c r="O21" s="14"/>
      <c r="P21" s="15"/>
    </row>
    <row r="22" spans="2:16" ht="15.75" thickBot="1" x14ac:dyDescent="0.3">
      <c r="B22" s="9"/>
      <c r="C22" s="67" t="s">
        <v>36</v>
      </c>
      <c r="D22" s="12"/>
      <c r="F22" s="67" t="s">
        <v>36</v>
      </c>
      <c r="G22" s="12"/>
      <c r="H22" s="12"/>
      <c r="J22" s="68"/>
      <c r="K22" s="67" t="s">
        <v>36</v>
      </c>
      <c r="L22" s="12"/>
      <c r="M22" s="14"/>
      <c r="O22" s="14"/>
      <c r="P22" s="15"/>
    </row>
    <row r="23" spans="2:16" ht="15.75" thickBot="1" x14ac:dyDescent="0.3">
      <c r="B23" s="9" t="s">
        <v>4</v>
      </c>
      <c r="C23" s="11">
        <f>G8</f>
        <v>10</v>
      </c>
      <c r="D23" s="1">
        <f>+D20*0.02778*C23</f>
        <v>55560</v>
      </c>
      <c r="F23" s="11">
        <f>C23-K23</f>
        <v>5</v>
      </c>
      <c r="G23" s="14">
        <f>+G20</f>
        <v>200000</v>
      </c>
      <c r="H23" s="12">
        <f>((+D20)*0.02778)*F23</f>
        <v>27780</v>
      </c>
      <c r="J23" s="19">
        <v>1</v>
      </c>
      <c r="K23" s="11">
        <f>L8</f>
        <v>5</v>
      </c>
      <c r="L23" s="12">
        <f>+L20</f>
        <v>240000</v>
      </c>
      <c r="M23" s="12">
        <f>((+L23)*0.02778)*K23</f>
        <v>33336</v>
      </c>
      <c r="O23" s="2">
        <f>+M23+H23</f>
        <v>61116</v>
      </c>
      <c r="P23" s="15">
        <f>IF(K23&gt;0,(+(O23-D23)/D23),0)</f>
        <v>0.1</v>
      </c>
    </row>
    <row r="24" spans="2:16" ht="15.75" thickBot="1" x14ac:dyDescent="0.3">
      <c r="B24" s="9"/>
      <c r="D24" s="14">
        <f>SUM(D20:D23)</f>
        <v>255560</v>
      </c>
      <c r="G24" s="26" t="s">
        <v>40</v>
      </c>
      <c r="O24" s="14">
        <f>SUM(O20:O23)</f>
        <v>271116</v>
      </c>
      <c r="P24" s="22">
        <f>+(O24-D24)/D24</f>
        <v>6.0870245734856783E-2</v>
      </c>
    </row>
    <row r="25" spans="2:16" ht="5.25" customHeight="1" thickBot="1" x14ac:dyDescent="0.3">
      <c r="B25" s="9"/>
      <c r="D25" s="14"/>
      <c r="O25" s="14"/>
      <c r="P25" s="69"/>
    </row>
    <row r="26" spans="2:16" ht="15.75" thickBot="1" x14ac:dyDescent="0.3">
      <c r="B26" s="16"/>
      <c r="C26" s="17"/>
      <c r="D26" s="17"/>
      <c r="E26" s="17"/>
      <c r="F26" s="17"/>
      <c r="G26" s="17"/>
      <c r="H26" s="17"/>
      <c r="I26" s="17"/>
      <c r="J26" s="17"/>
      <c r="K26" s="17"/>
      <c r="L26" s="52"/>
      <c r="M26" s="53" t="s">
        <v>7</v>
      </c>
      <c r="N26" s="54"/>
      <c r="O26" s="47">
        <f>+O24-D24</f>
        <v>15556</v>
      </c>
      <c r="P26" s="18"/>
    </row>
    <row r="28" spans="2:16" x14ac:dyDescent="0.25">
      <c r="B28" s="27" t="s">
        <v>9</v>
      </c>
    </row>
    <row r="29" spans="2:16" s="72" customFormat="1" x14ac:dyDescent="0.25">
      <c r="B29" s="71" t="s">
        <v>50</v>
      </c>
    </row>
  </sheetData>
  <protectedRanges>
    <protectedRange sqref="B9:G9 Q9:XFD9 B3:B8 C3:XFD7 N8:XFD8 K8:L8 E8:I8" name="Parameters"/>
    <protectedRange sqref="H9:P9" name="Parameters_1"/>
  </protectedRanges>
  <mergeCells count="7">
    <mergeCell ref="J11:M11"/>
    <mergeCell ref="F11:H11"/>
    <mergeCell ref="C11:D11"/>
    <mergeCell ref="B1:P1"/>
    <mergeCell ref="C18:D18"/>
    <mergeCell ref="F18:H18"/>
    <mergeCell ref="J18:M18"/>
  </mergeCells>
  <printOptions horizontalCentered="1"/>
  <pageMargins left="0.45" right="0.45" top="0.5" bottom="0.5" header="0.3" footer="0.3"/>
  <pageSetup scale="74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B60757E7-82B7-457B-82FB-9732E76472A8}">
          <x14:formula1>
            <xm:f>Lists!$A$2:$A$5</xm:f>
          </x14:formula1>
          <xm:sqref>J5</xm:sqref>
        </x14:dataValidation>
        <x14:dataValidation type="list" allowBlank="1" showInputMessage="1" showErrorMessage="1" xr:uid="{EC62EB13-AE02-4251-AA28-3D0A108692D9}">
          <x14:formula1>
            <xm:f>Lists!$C$2:$C$12</xm:f>
          </x14:formula1>
          <xm:sqref>O5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5753EE-88CF-46B5-846D-3F6F225A85F5}">
  <dimension ref="A1:C12"/>
  <sheetViews>
    <sheetView workbookViewId="0">
      <selection activeCell="C2" sqref="C2"/>
    </sheetView>
  </sheetViews>
  <sheetFormatPr defaultRowHeight="15" x14ac:dyDescent="0.25"/>
  <cols>
    <col min="1" max="1" width="31.42578125" bestFit="1" customWidth="1"/>
    <col min="3" max="3" width="19" bestFit="1" customWidth="1"/>
  </cols>
  <sheetData>
    <row r="1" spans="1:3" x14ac:dyDescent="0.25">
      <c r="A1" t="s">
        <v>12</v>
      </c>
      <c r="C1" t="s">
        <v>45</v>
      </c>
    </row>
    <row r="2" spans="1:3" x14ac:dyDescent="0.25">
      <c r="A2" s="45">
        <v>0.1</v>
      </c>
      <c r="C2" s="11">
        <v>0.25</v>
      </c>
    </row>
    <row r="3" spans="1:3" x14ac:dyDescent="0.25">
      <c r="A3" s="45">
        <v>0.15</v>
      </c>
      <c r="C3" s="11">
        <v>0.3</v>
      </c>
    </row>
    <row r="4" spans="1:3" x14ac:dyDescent="0.25">
      <c r="A4" s="45">
        <v>0.2</v>
      </c>
      <c r="C4" s="11">
        <v>0.35</v>
      </c>
    </row>
    <row r="5" spans="1:3" x14ac:dyDescent="0.25">
      <c r="A5" s="45">
        <v>0.25</v>
      </c>
      <c r="C5" s="11">
        <v>0.4</v>
      </c>
    </row>
    <row r="6" spans="1:3" x14ac:dyDescent="0.25">
      <c r="C6" s="11">
        <v>0.45</v>
      </c>
    </row>
    <row r="7" spans="1:3" x14ac:dyDescent="0.25">
      <c r="C7" s="11">
        <v>0.5</v>
      </c>
    </row>
    <row r="8" spans="1:3" x14ac:dyDescent="0.25">
      <c r="C8" s="11">
        <v>0.55000000000000004</v>
      </c>
    </row>
    <row r="9" spans="1:3" x14ac:dyDescent="0.25">
      <c r="C9" s="11">
        <v>0.6</v>
      </c>
    </row>
    <row r="10" spans="1:3" x14ac:dyDescent="0.25">
      <c r="C10" s="11">
        <v>0.65</v>
      </c>
    </row>
    <row r="11" spans="1:3" x14ac:dyDescent="0.25">
      <c r="C11" s="11">
        <v>0.7</v>
      </c>
    </row>
    <row r="12" spans="1:3" x14ac:dyDescent="0.25">
      <c r="C12" s="11">
        <v>0.75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Original</vt:lpstr>
      <vt:lpstr>AY</vt:lpstr>
      <vt:lpstr>FY</vt:lpstr>
      <vt:lpstr>AY_Option 1</vt:lpstr>
      <vt:lpstr>Lists</vt:lpstr>
      <vt:lpstr>AY!Print_Area</vt:lpstr>
      <vt:lpstr>'AY_Option 1'!Print_Area</vt:lpstr>
      <vt:lpstr>FY!Print_Area</vt:lpstr>
      <vt:lpstr>Original!Print_Area</vt:lpstr>
    </vt:vector>
  </TitlesOfParts>
  <Company>Purdue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Sandel, Ken L.</dc:creator>
  <cp:lastModifiedBy>Melissa Guinn</cp:lastModifiedBy>
  <cp:lastPrinted>2023-05-05T11:15:04Z</cp:lastPrinted>
  <dcterms:created xsi:type="dcterms:W3CDTF">2023-02-18T21:04:45Z</dcterms:created>
  <dcterms:modified xsi:type="dcterms:W3CDTF">2026-03-05T17:13:27Z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044bd30-2ed7-4c9d-9d12-46200872a97b_Enabled">
    <vt:lpwstr>true</vt:lpwstr>
  </property>
  <property fmtid="{D5CDD505-2E9C-101B-9397-08002B2CF9AE}" pid="3" name="MSIP_Label_4044bd30-2ed7-4c9d-9d12-46200872a97b_SetDate">
    <vt:lpwstr>2023-05-04T16:40:26Z</vt:lpwstr>
  </property>
  <property fmtid="{D5CDD505-2E9C-101B-9397-08002B2CF9AE}" pid="4" name="MSIP_Label_4044bd30-2ed7-4c9d-9d12-46200872a97b_Method">
    <vt:lpwstr>Standard</vt:lpwstr>
  </property>
  <property fmtid="{D5CDD505-2E9C-101B-9397-08002B2CF9AE}" pid="5" name="MSIP_Label_4044bd30-2ed7-4c9d-9d12-46200872a97b_Name">
    <vt:lpwstr>defa4170-0d19-0005-0004-bc88714345d2</vt:lpwstr>
  </property>
  <property fmtid="{D5CDD505-2E9C-101B-9397-08002B2CF9AE}" pid="6" name="MSIP_Label_4044bd30-2ed7-4c9d-9d12-46200872a97b_SiteId">
    <vt:lpwstr>4130bd39-7c53-419c-b1e5-8758d6d63f21</vt:lpwstr>
  </property>
  <property fmtid="{D5CDD505-2E9C-101B-9397-08002B2CF9AE}" pid="7" name="MSIP_Label_4044bd30-2ed7-4c9d-9d12-46200872a97b_ActionId">
    <vt:lpwstr>c905fa6c-b094-4b13-8f17-22554ea1b11d</vt:lpwstr>
  </property>
  <property fmtid="{D5CDD505-2E9C-101B-9397-08002B2CF9AE}" pid="8" name="MSIP_Label_4044bd30-2ed7-4c9d-9d12-46200872a97b_ContentBits">
    <vt:lpwstr>0</vt:lpwstr>
  </property>
</Properties>
</file>